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01" activeTab="1"/>
  </bookViews>
  <sheets>
    <sheet name="Реестр 2025 (2)" sheetId="8" r:id="rId1"/>
    <sheet name="Реестр 2025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6" i="8" l="1"/>
  <c r="P496" i="8"/>
  <c r="H495" i="8"/>
  <c r="G495" i="8"/>
  <c r="H494" i="8"/>
  <c r="G494" i="8"/>
  <c r="H493" i="8"/>
  <c r="G493" i="8"/>
  <c r="H492" i="8"/>
  <c r="G492" i="8"/>
  <c r="H490" i="8"/>
  <c r="G490" i="8"/>
  <c r="H489" i="8"/>
  <c r="G489" i="8"/>
  <c r="H487" i="8"/>
  <c r="G487" i="8"/>
  <c r="H486" i="8"/>
  <c r="G486" i="8"/>
  <c r="H484" i="8"/>
  <c r="G484" i="8"/>
  <c r="H483" i="8"/>
  <c r="G483" i="8"/>
  <c r="H482" i="8"/>
  <c r="G482" i="8"/>
  <c r="H481" i="8"/>
  <c r="G481" i="8"/>
  <c r="H480" i="8"/>
  <c r="G480" i="8"/>
  <c r="H479" i="8"/>
  <c r="G479" i="8"/>
  <c r="H477" i="8"/>
  <c r="G477" i="8"/>
  <c r="H476" i="8"/>
  <c r="G476" i="8"/>
  <c r="H475" i="8"/>
  <c r="G475" i="8"/>
  <c r="H474" i="8"/>
  <c r="G474" i="8"/>
  <c r="H472" i="8"/>
  <c r="G472" i="8"/>
  <c r="H471" i="8"/>
  <c r="G471" i="8"/>
  <c r="H469" i="8"/>
  <c r="G469" i="8"/>
  <c r="H467" i="8"/>
  <c r="G467" i="8"/>
  <c r="H466" i="8"/>
  <c r="G466" i="8"/>
  <c r="H464" i="8"/>
  <c r="G464" i="8"/>
  <c r="H463" i="8"/>
  <c r="G463" i="8"/>
  <c r="H462" i="8"/>
  <c r="G462" i="8"/>
  <c r="H461" i="8"/>
  <c r="G461" i="8"/>
  <c r="H460" i="8"/>
  <c r="G460" i="8"/>
  <c r="H459" i="8"/>
  <c r="G459" i="8"/>
  <c r="H458" i="8"/>
  <c r="G458" i="8"/>
  <c r="H456" i="8"/>
  <c r="G456" i="8"/>
  <c r="H455" i="8"/>
  <c r="G455" i="8"/>
  <c r="H454" i="8"/>
  <c r="G454" i="8"/>
  <c r="H452" i="8"/>
  <c r="G452" i="8"/>
  <c r="H451" i="8"/>
  <c r="G451" i="8"/>
  <c r="H450" i="8"/>
  <c r="G450" i="8"/>
  <c r="H449" i="8"/>
  <c r="G449" i="8"/>
  <c r="H447" i="8"/>
  <c r="G447" i="8"/>
  <c r="H446" i="8"/>
  <c r="G446" i="8"/>
  <c r="H444" i="8"/>
  <c r="G444" i="8"/>
  <c r="H442" i="8"/>
  <c r="G442" i="8"/>
  <c r="H441" i="8"/>
  <c r="G441" i="8"/>
  <c r="H440" i="8"/>
  <c r="G440" i="8"/>
  <c r="H439" i="8"/>
  <c r="G439" i="8"/>
  <c r="H438" i="8"/>
  <c r="G438" i="8"/>
  <c r="H437" i="8"/>
  <c r="G437" i="8"/>
  <c r="H436" i="8"/>
  <c r="G436" i="8"/>
  <c r="H435" i="8"/>
  <c r="G435" i="8"/>
  <c r="G433" i="8"/>
  <c r="G432" i="8"/>
  <c r="H430" i="8"/>
  <c r="G430" i="8"/>
  <c r="H429" i="8"/>
  <c r="G429" i="8"/>
  <c r="H428" i="8"/>
  <c r="G428" i="8"/>
  <c r="H426" i="8"/>
  <c r="G426" i="8"/>
  <c r="H425" i="8"/>
  <c r="G425" i="8"/>
  <c r="H424" i="8"/>
  <c r="G424" i="8"/>
  <c r="H423" i="8"/>
  <c r="G423" i="8"/>
  <c r="H422" i="8"/>
  <c r="G422" i="8"/>
  <c r="H421" i="8"/>
  <c r="G421" i="8"/>
  <c r="H420" i="8"/>
  <c r="G420" i="8"/>
  <c r="H419" i="8"/>
  <c r="G419" i="8"/>
  <c r="H417" i="8"/>
  <c r="G417" i="8"/>
  <c r="H416" i="8"/>
  <c r="G416" i="8"/>
  <c r="H415" i="8"/>
  <c r="G415" i="8"/>
  <c r="H414" i="8"/>
  <c r="G414" i="8"/>
  <c r="H413" i="8"/>
  <c r="G413" i="8"/>
  <c r="H412" i="8"/>
  <c r="G412" i="8"/>
  <c r="H411" i="8"/>
  <c r="G411" i="8"/>
  <c r="H409" i="8"/>
  <c r="G409" i="8"/>
  <c r="H408" i="8"/>
  <c r="G408" i="8"/>
  <c r="H407" i="8"/>
  <c r="G407" i="8"/>
  <c r="H406" i="8"/>
  <c r="G406" i="8"/>
  <c r="H405" i="8"/>
  <c r="G405" i="8"/>
  <c r="H404" i="8"/>
  <c r="G404" i="8"/>
  <c r="H403" i="8"/>
  <c r="G403" i="8"/>
  <c r="H402" i="8"/>
  <c r="G402" i="8"/>
  <c r="H400" i="8"/>
  <c r="G400" i="8"/>
  <c r="H398" i="8"/>
  <c r="G398" i="8"/>
  <c r="H397" i="8"/>
  <c r="G397" i="8"/>
  <c r="H396" i="8"/>
  <c r="G396" i="8"/>
  <c r="H395" i="8"/>
  <c r="G395" i="8"/>
  <c r="H394" i="8"/>
  <c r="G394" i="8"/>
  <c r="H393" i="8"/>
  <c r="G393" i="8"/>
  <c r="H392" i="8"/>
  <c r="G392" i="8"/>
  <c r="H390" i="8"/>
  <c r="G390" i="8"/>
  <c r="H389" i="8"/>
  <c r="G389" i="8"/>
  <c r="H388" i="8"/>
  <c r="G388" i="8"/>
  <c r="H387" i="8"/>
  <c r="G387" i="8"/>
  <c r="G386" i="8"/>
  <c r="H385" i="8"/>
  <c r="G385" i="8"/>
  <c r="G384" i="8"/>
  <c r="I383" i="8"/>
  <c r="H383" i="8"/>
  <c r="G383" i="8"/>
  <c r="H382" i="8"/>
  <c r="G382" i="8"/>
  <c r="H381" i="8"/>
  <c r="G381" i="8"/>
  <c r="H380" i="8"/>
  <c r="G380" i="8"/>
  <c r="H379" i="8"/>
  <c r="G379" i="8"/>
  <c r="H378" i="8"/>
  <c r="G378" i="8"/>
  <c r="H376" i="8"/>
  <c r="G376" i="8"/>
  <c r="H375" i="8"/>
  <c r="G375" i="8"/>
  <c r="H374" i="8"/>
  <c r="G374" i="8"/>
  <c r="H373" i="8"/>
  <c r="G373" i="8"/>
  <c r="H372" i="8"/>
  <c r="G372" i="8"/>
  <c r="H371" i="8"/>
  <c r="G371" i="8"/>
  <c r="H370" i="8"/>
  <c r="G370" i="8"/>
  <c r="H368" i="8"/>
  <c r="G368" i="8"/>
  <c r="H367" i="8"/>
  <c r="G367" i="8"/>
  <c r="H366" i="8"/>
  <c r="G366" i="8"/>
  <c r="H365" i="8"/>
  <c r="G365" i="8"/>
  <c r="H363" i="8"/>
  <c r="G363" i="8"/>
  <c r="H362" i="8"/>
  <c r="G362" i="8"/>
  <c r="H361" i="8"/>
  <c r="G361" i="8"/>
  <c r="H359" i="8"/>
  <c r="G359" i="8"/>
  <c r="H357" i="8"/>
  <c r="G357" i="8"/>
  <c r="H356" i="8"/>
  <c r="G356" i="8"/>
  <c r="H355" i="8"/>
  <c r="G355" i="8"/>
  <c r="H354" i="8"/>
  <c r="G354" i="8"/>
  <c r="H352" i="8"/>
  <c r="G352" i="8"/>
  <c r="I351" i="8"/>
  <c r="H351" i="8"/>
  <c r="G351" i="8"/>
  <c r="H350" i="8"/>
  <c r="G350" i="8"/>
  <c r="H349" i="8"/>
  <c r="G349" i="8"/>
  <c r="H348" i="8"/>
  <c r="G348" i="8"/>
  <c r="H347" i="8"/>
  <c r="G347" i="8"/>
  <c r="H345" i="8"/>
  <c r="G345" i="8"/>
  <c r="H344" i="8"/>
  <c r="G344" i="8"/>
  <c r="I343" i="8"/>
  <c r="H343" i="8"/>
  <c r="G343" i="8"/>
  <c r="H341" i="8"/>
  <c r="G341" i="8"/>
  <c r="H340" i="8"/>
  <c r="G340" i="8"/>
  <c r="H339" i="8"/>
  <c r="G339" i="8"/>
  <c r="H337" i="8"/>
  <c r="G337" i="8"/>
  <c r="H336" i="8"/>
  <c r="G336" i="8"/>
  <c r="H335" i="8"/>
  <c r="G335" i="8"/>
  <c r="H334" i="8"/>
  <c r="G334" i="8"/>
  <c r="H333" i="8"/>
  <c r="G333" i="8"/>
  <c r="H332" i="8"/>
  <c r="G332" i="8"/>
  <c r="H330" i="8"/>
  <c r="G330" i="8"/>
  <c r="H328" i="8"/>
  <c r="G328" i="8"/>
  <c r="H327" i="8"/>
  <c r="G327" i="8"/>
  <c r="H325" i="8"/>
  <c r="G325" i="8"/>
  <c r="H324" i="8"/>
  <c r="G324" i="8"/>
  <c r="H323" i="8"/>
  <c r="G323" i="8"/>
  <c r="H322" i="8"/>
  <c r="G322" i="8"/>
  <c r="H321" i="8"/>
  <c r="G321" i="8"/>
  <c r="H320" i="8"/>
  <c r="G320" i="8"/>
  <c r="H319" i="8"/>
  <c r="G319" i="8"/>
  <c r="H318" i="8"/>
  <c r="G318" i="8"/>
  <c r="H317" i="8"/>
  <c r="G317" i="8"/>
  <c r="H315" i="8"/>
  <c r="G315" i="8"/>
  <c r="H313" i="8"/>
  <c r="G313" i="8"/>
  <c r="H312" i="8"/>
  <c r="G312" i="8"/>
  <c r="H310" i="8"/>
  <c r="G310" i="8"/>
  <c r="H309" i="8"/>
  <c r="G309" i="8"/>
  <c r="H308" i="8"/>
  <c r="G308" i="8"/>
  <c r="H307" i="8"/>
  <c r="G307" i="8"/>
  <c r="H306" i="8"/>
  <c r="G306" i="8"/>
  <c r="H305" i="8"/>
  <c r="G305" i="8"/>
  <c r="H304" i="8"/>
  <c r="G304" i="8"/>
  <c r="H303" i="8"/>
  <c r="G303" i="8"/>
  <c r="H302" i="8"/>
  <c r="G302" i="8"/>
  <c r="H301" i="8"/>
  <c r="G301" i="8"/>
  <c r="H300" i="8"/>
  <c r="G300" i="8"/>
  <c r="H299" i="8"/>
  <c r="G299" i="8"/>
  <c r="H297" i="8"/>
  <c r="G297" i="8"/>
  <c r="H296" i="8"/>
  <c r="G296" i="8"/>
  <c r="H295" i="8"/>
  <c r="G295" i="8"/>
  <c r="H294" i="8"/>
  <c r="G294" i="8"/>
  <c r="H293" i="8"/>
  <c r="G293" i="8"/>
  <c r="H292" i="8"/>
  <c r="G292" i="8"/>
  <c r="H291" i="8"/>
  <c r="G291" i="8"/>
  <c r="H290" i="8"/>
  <c r="G290" i="8"/>
  <c r="H289" i="8"/>
  <c r="G289" i="8"/>
  <c r="H287" i="8"/>
  <c r="G287" i="8"/>
  <c r="H285" i="8"/>
  <c r="G285" i="8"/>
  <c r="I284" i="8"/>
  <c r="H284" i="8"/>
  <c r="G284" i="8"/>
  <c r="H283" i="8"/>
  <c r="G283" i="8"/>
  <c r="H281" i="8"/>
  <c r="G281" i="8"/>
  <c r="H280" i="8"/>
  <c r="G280" i="8"/>
  <c r="H278" i="8"/>
  <c r="G278" i="8"/>
  <c r="H277" i="8"/>
  <c r="G277" i="8"/>
  <c r="H275" i="8"/>
  <c r="G275" i="8"/>
  <c r="H273" i="8"/>
  <c r="G273" i="8"/>
  <c r="H272" i="8"/>
  <c r="G272" i="8"/>
  <c r="H271" i="8"/>
  <c r="G271" i="8"/>
  <c r="H269" i="8"/>
  <c r="G269" i="8"/>
  <c r="H267" i="8"/>
  <c r="G267" i="8"/>
  <c r="H266" i="8"/>
  <c r="G266" i="8"/>
  <c r="H265" i="8"/>
  <c r="G265" i="8"/>
  <c r="H264" i="8"/>
  <c r="G264" i="8"/>
  <c r="H263" i="8"/>
  <c r="G263" i="8"/>
  <c r="H262" i="8"/>
  <c r="G262" i="8"/>
  <c r="H261" i="8"/>
  <c r="G261" i="8"/>
  <c r="H260" i="8"/>
  <c r="G260" i="8"/>
  <c r="G259" i="8"/>
  <c r="G258" i="8"/>
  <c r="G257" i="8"/>
  <c r="H255" i="8"/>
  <c r="G255" i="8"/>
  <c r="H254" i="8"/>
  <c r="G254" i="8"/>
  <c r="H252" i="8"/>
  <c r="G252" i="8"/>
  <c r="H251" i="8"/>
  <c r="G251" i="8"/>
  <c r="H250" i="8"/>
  <c r="G250" i="8"/>
  <c r="H249" i="8"/>
  <c r="G249" i="8"/>
  <c r="H247" i="8"/>
  <c r="G247" i="8"/>
  <c r="H245" i="8"/>
  <c r="G245" i="8"/>
  <c r="G243" i="8"/>
  <c r="H242" i="8"/>
  <c r="G242" i="8"/>
  <c r="H241" i="8"/>
  <c r="G241" i="8"/>
  <c r="H240" i="8"/>
  <c r="G240" i="8"/>
  <c r="H239" i="8"/>
  <c r="G239" i="8"/>
  <c r="G238" i="8"/>
  <c r="H237" i="8"/>
  <c r="G237" i="8"/>
  <c r="H236" i="8"/>
  <c r="G236" i="8"/>
  <c r="G235" i="8"/>
  <c r="G234" i="8"/>
  <c r="G233" i="8"/>
  <c r="G232" i="8"/>
  <c r="G231" i="8"/>
  <c r="G230" i="8"/>
  <c r="H229" i="8"/>
  <c r="G229" i="8"/>
  <c r="H228" i="8"/>
  <c r="G228" i="8"/>
  <c r="H227" i="8"/>
  <c r="G227" i="8"/>
  <c r="H226" i="8"/>
  <c r="G226" i="8"/>
  <c r="G225" i="8"/>
  <c r="G224" i="8"/>
  <c r="H222" i="8"/>
  <c r="G222" i="8"/>
  <c r="H220" i="8"/>
  <c r="G220" i="8"/>
  <c r="H219" i="8"/>
  <c r="G219" i="8"/>
  <c r="H218" i="8"/>
  <c r="G218" i="8"/>
  <c r="H217" i="8"/>
  <c r="G217" i="8"/>
  <c r="H216" i="8"/>
  <c r="G216" i="8"/>
  <c r="H215" i="8"/>
  <c r="G215" i="8"/>
  <c r="H213" i="8"/>
  <c r="G213" i="8"/>
  <c r="H212" i="8"/>
  <c r="G212" i="8"/>
  <c r="H211" i="8"/>
  <c r="G211" i="8"/>
  <c r="H210" i="8"/>
  <c r="G210" i="8"/>
  <c r="H209" i="8"/>
  <c r="G209" i="8"/>
  <c r="H207" i="8"/>
  <c r="G207" i="8"/>
  <c r="H206" i="8"/>
  <c r="G206" i="8"/>
  <c r="H205" i="8"/>
  <c r="G205" i="8"/>
  <c r="H204" i="8"/>
  <c r="G204" i="8"/>
  <c r="H203" i="8"/>
  <c r="G203" i="8"/>
  <c r="H202" i="8"/>
  <c r="G202" i="8"/>
  <c r="H201" i="8"/>
  <c r="G201" i="8"/>
  <c r="H200" i="8"/>
  <c r="G200" i="8"/>
  <c r="H199" i="8"/>
  <c r="G199" i="8"/>
  <c r="H197" i="8"/>
  <c r="G197" i="8"/>
  <c r="I196" i="8"/>
  <c r="H196" i="8"/>
  <c r="G196" i="8"/>
  <c r="H195" i="8"/>
  <c r="G195" i="8"/>
  <c r="I194" i="8"/>
  <c r="H194" i="8"/>
  <c r="G194" i="8"/>
  <c r="H193" i="8"/>
  <c r="G193" i="8"/>
  <c r="H192" i="8"/>
  <c r="G192" i="8"/>
  <c r="H191" i="8"/>
  <c r="G191" i="8"/>
  <c r="I190" i="8"/>
  <c r="H190" i="8"/>
  <c r="G190" i="8"/>
  <c r="H189" i="8"/>
  <c r="G189" i="8"/>
  <c r="I188" i="8"/>
  <c r="H188" i="8"/>
  <c r="G188" i="8"/>
  <c r="H187" i="8"/>
  <c r="G187" i="8"/>
  <c r="H186" i="8"/>
  <c r="G186" i="8"/>
  <c r="H185" i="8"/>
  <c r="G185" i="8"/>
  <c r="H184" i="8"/>
  <c r="G184" i="8"/>
  <c r="H183" i="8"/>
  <c r="G183" i="8"/>
  <c r="H182" i="8"/>
  <c r="G182" i="8"/>
  <c r="H181" i="8"/>
  <c r="G181" i="8"/>
  <c r="I180" i="8"/>
  <c r="H180" i="8"/>
  <c r="G180" i="8"/>
  <c r="I179" i="8"/>
  <c r="H179" i="8"/>
  <c r="G179" i="8"/>
  <c r="H178" i="8"/>
  <c r="G178" i="8"/>
  <c r="H177" i="8"/>
  <c r="G177" i="8"/>
  <c r="H176" i="8"/>
  <c r="G176" i="8"/>
  <c r="H175" i="8"/>
  <c r="G175" i="8"/>
  <c r="H174" i="8"/>
  <c r="G174" i="8"/>
  <c r="I173" i="8"/>
  <c r="H173" i="8"/>
  <c r="G173" i="8"/>
  <c r="H171" i="8"/>
  <c r="G171" i="8"/>
  <c r="H170" i="8"/>
  <c r="G170" i="8"/>
  <c r="H169" i="8"/>
  <c r="G169" i="8"/>
  <c r="H167" i="8"/>
  <c r="G167" i="8"/>
  <c r="H165" i="8"/>
  <c r="G165" i="8"/>
  <c r="H164" i="8"/>
  <c r="G164" i="8"/>
  <c r="H163" i="8"/>
  <c r="G163" i="8"/>
  <c r="H162" i="8"/>
  <c r="G162" i="8"/>
  <c r="H161" i="8"/>
  <c r="G161" i="8"/>
  <c r="H159" i="8"/>
  <c r="G159" i="8"/>
  <c r="H157" i="8"/>
  <c r="G157" i="8"/>
  <c r="G155" i="8"/>
  <c r="H154" i="8"/>
  <c r="G154" i="8"/>
  <c r="H152" i="8"/>
  <c r="G152" i="8"/>
  <c r="H150" i="8"/>
  <c r="G150" i="8"/>
  <c r="H148" i="8"/>
  <c r="G148" i="8"/>
  <c r="H147" i="8"/>
  <c r="G147" i="8"/>
  <c r="H145" i="8"/>
  <c r="G145" i="8"/>
  <c r="H144" i="8"/>
  <c r="G144" i="8"/>
  <c r="H143" i="8"/>
  <c r="G143" i="8"/>
  <c r="H141" i="8"/>
  <c r="G141" i="8"/>
  <c r="H140" i="8"/>
  <c r="G140" i="8"/>
  <c r="H139" i="8"/>
  <c r="G139" i="8"/>
  <c r="H137" i="8"/>
  <c r="H136" i="8"/>
  <c r="H135" i="8"/>
  <c r="H134" i="8"/>
  <c r="H132" i="8"/>
  <c r="H131" i="8"/>
  <c r="H130" i="8"/>
  <c r="H129" i="8"/>
  <c r="H128" i="8"/>
  <c r="G128" i="8"/>
  <c r="H127" i="8"/>
  <c r="G127" i="8"/>
  <c r="H126" i="8"/>
  <c r="G126" i="8"/>
  <c r="H125" i="8"/>
  <c r="G125" i="8"/>
  <c r="H124" i="8"/>
  <c r="G124" i="8"/>
  <c r="H123" i="8"/>
  <c r="G123" i="8"/>
  <c r="H122" i="8"/>
  <c r="G122" i="8"/>
  <c r="H121" i="8"/>
  <c r="G121" i="8"/>
  <c r="H120" i="8"/>
  <c r="G120" i="8"/>
  <c r="H119" i="8"/>
  <c r="G119" i="8"/>
  <c r="H118" i="8"/>
  <c r="G118" i="8"/>
  <c r="H117" i="8"/>
  <c r="H114" i="8"/>
  <c r="G114" i="8"/>
  <c r="H112" i="8"/>
  <c r="G112" i="8"/>
  <c r="H111" i="8"/>
  <c r="G111" i="8"/>
  <c r="H110" i="8"/>
  <c r="G110" i="8"/>
  <c r="H108" i="8"/>
  <c r="G108" i="8"/>
  <c r="H107" i="8"/>
  <c r="G107" i="8"/>
  <c r="H106" i="8"/>
  <c r="G106" i="8"/>
  <c r="H105" i="8"/>
  <c r="G105" i="8"/>
  <c r="H103" i="8"/>
  <c r="G103" i="8"/>
  <c r="H102" i="8"/>
  <c r="G102" i="8"/>
  <c r="H100" i="8"/>
  <c r="G100" i="8"/>
  <c r="H98" i="8"/>
  <c r="G98" i="8"/>
  <c r="H96" i="8"/>
  <c r="G96" i="8"/>
  <c r="H95" i="8"/>
  <c r="G95" i="8"/>
  <c r="H94" i="8"/>
  <c r="G94" i="8"/>
  <c r="H92" i="8"/>
  <c r="G92" i="8"/>
  <c r="H91" i="8"/>
  <c r="G91" i="8"/>
  <c r="H90" i="8"/>
  <c r="G90" i="8"/>
  <c r="H89" i="8"/>
  <c r="G89" i="8"/>
  <c r="H88" i="8"/>
  <c r="G88" i="8"/>
  <c r="H87" i="8"/>
  <c r="G87" i="8"/>
  <c r="G86" i="8"/>
  <c r="H85" i="8"/>
  <c r="G85" i="8"/>
  <c r="H84" i="8"/>
  <c r="G84" i="8"/>
  <c r="G82" i="8"/>
  <c r="H80" i="8"/>
  <c r="G80" i="8"/>
  <c r="H79" i="8"/>
  <c r="G79" i="8"/>
  <c r="H78" i="8"/>
  <c r="G78" i="8"/>
  <c r="H77" i="8"/>
  <c r="G77" i="8"/>
  <c r="H75" i="8"/>
  <c r="G75" i="8"/>
  <c r="H74" i="8"/>
  <c r="G74" i="8"/>
  <c r="H73" i="8"/>
  <c r="G73" i="8"/>
  <c r="H72" i="8"/>
  <c r="G72" i="8"/>
  <c r="H71" i="8"/>
  <c r="G71" i="8"/>
  <c r="I70" i="8"/>
  <c r="H70" i="8"/>
  <c r="G70" i="8"/>
  <c r="H69" i="8"/>
  <c r="G69" i="8"/>
  <c r="H67" i="8"/>
  <c r="G67" i="8"/>
  <c r="H66" i="8"/>
  <c r="G66" i="8"/>
  <c r="H65" i="8"/>
  <c r="G65" i="8"/>
  <c r="H63" i="8"/>
  <c r="G63" i="8"/>
  <c r="H62" i="8"/>
  <c r="G62" i="8"/>
  <c r="I61" i="8"/>
  <c r="H61" i="8"/>
  <c r="G61" i="8"/>
  <c r="H59" i="8"/>
  <c r="G59" i="8"/>
  <c r="H58" i="8"/>
  <c r="G58" i="8"/>
  <c r="H57" i="8"/>
  <c r="G57" i="8"/>
  <c r="H55" i="8"/>
  <c r="G55" i="8"/>
  <c r="H53" i="8"/>
  <c r="G53" i="8"/>
  <c r="H51" i="8"/>
  <c r="G51" i="8"/>
  <c r="H49" i="8"/>
  <c r="G49" i="8"/>
  <c r="H47" i="8"/>
  <c r="G47" i="8"/>
  <c r="H45" i="8"/>
  <c r="G45" i="8"/>
  <c r="H44" i="8"/>
  <c r="G44" i="8"/>
  <c r="H43" i="8"/>
  <c r="G43" i="8"/>
  <c r="H42" i="8"/>
  <c r="G42" i="8"/>
  <c r="H41" i="8"/>
  <c r="G41" i="8"/>
  <c r="H40" i="8"/>
  <c r="G40" i="8"/>
  <c r="H39" i="8"/>
  <c r="G39" i="8"/>
  <c r="H38" i="8"/>
  <c r="G38" i="8"/>
  <c r="H37" i="8"/>
  <c r="G37" i="8"/>
  <c r="H36" i="8"/>
  <c r="G36" i="8"/>
  <c r="H35" i="8"/>
  <c r="G35" i="8"/>
  <c r="H34" i="8"/>
  <c r="G34" i="8"/>
  <c r="H32" i="8"/>
  <c r="G32" i="8"/>
  <c r="H31" i="8"/>
  <c r="G31" i="8"/>
  <c r="H29" i="8"/>
  <c r="G29" i="8"/>
  <c r="H28" i="8"/>
  <c r="G28" i="8"/>
  <c r="H27" i="8"/>
  <c r="G27" i="8"/>
  <c r="H26" i="8"/>
  <c r="G26" i="8"/>
  <c r="H25" i="8"/>
  <c r="G25" i="8"/>
  <c r="G23" i="8"/>
  <c r="H21" i="8"/>
  <c r="G21" i="8"/>
  <c r="H20" i="8"/>
  <c r="G20" i="8"/>
  <c r="H19" i="8"/>
  <c r="G19" i="8"/>
  <c r="H18" i="8"/>
  <c r="G18" i="8"/>
  <c r="I17" i="8"/>
  <c r="I496" i="8" s="1"/>
  <c r="H17" i="8"/>
  <c r="G17" i="8"/>
  <c r="H16" i="8"/>
  <c r="G16" i="8"/>
  <c r="H15" i="8"/>
  <c r="G15" i="8"/>
  <c r="H14" i="8"/>
  <c r="G14" i="8"/>
  <c r="H12" i="8"/>
  <c r="G12" i="8"/>
  <c r="H11" i="8"/>
  <c r="G11" i="8"/>
  <c r="H10" i="8"/>
  <c r="G10" i="8"/>
  <c r="H9" i="8"/>
  <c r="H496" i="8" s="1"/>
  <c r="G9" i="8"/>
  <c r="G496" i="8" s="1"/>
  <c r="G433" i="7" l="1"/>
  <c r="G432" i="7"/>
  <c r="H495" i="7" l="1"/>
  <c r="G495" i="7"/>
  <c r="H494" i="7"/>
  <c r="G494" i="7"/>
  <c r="H493" i="7"/>
  <c r="G493" i="7"/>
  <c r="H492" i="7"/>
  <c r="G492" i="7"/>
  <c r="H490" i="7"/>
  <c r="G490" i="7"/>
  <c r="H489" i="7"/>
  <c r="G489" i="7"/>
  <c r="H487" i="7"/>
  <c r="G487" i="7"/>
  <c r="H486" i="7"/>
  <c r="G486" i="7"/>
  <c r="H484" i="7"/>
  <c r="G484" i="7"/>
  <c r="H483" i="7"/>
  <c r="G483" i="7"/>
  <c r="H482" i="7"/>
  <c r="G482" i="7"/>
  <c r="H481" i="7"/>
  <c r="G481" i="7"/>
  <c r="H480" i="7"/>
  <c r="G480" i="7"/>
  <c r="H479" i="7"/>
  <c r="G479" i="7"/>
  <c r="H477" i="7"/>
  <c r="G477" i="7"/>
  <c r="H476" i="7"/>
  <c r="G476" i="7"/>
  <c r="H475" i="7"/>
  <c r="G475" i="7"/>
  <c r="H474" i="7"/>
  <c r="G474" i="7"/>
  <c r="H472" i="7"/>
  <c r="G472" i="7"/>
  <c r="H471" i="7"/>
  <c r="G471" i="7"/>
  <c r="H469" i="7"/>
  <c r="G469" i="7"/>
  <c r="H467" i="7"/>
  <c r="G467" i="7"/>
  <c r="H466" i="7"/>
  <c r="G466" i="7"/>
  <c r="H464" i="7"/>
  <c r="G464" i="7"/>
  <c r="H463" i="7"/>
  <c r="G463" i="7"/>
  <c r="H462" i="7"/>
  <c r="G462" i="7"/>
  <c r="H461" i="7"/>
  <c r="G461" i="7"/>
  <c r="H460" i="7"/>
  <c r="G460" i="7"/>
  <c r="H459" i="7"/>
  <c r="G459" i="7"/>
  <c r="H458" i="7"/>
  <c r="G458" i="7"/>
  <c r="H456" i="7"/>
  <c r="G456" i="7"/>
  <c r="H455" i="7"/>
  <c r="G455" i="7"/>
  <c r="H454" i="7"/>
  <c r="G454" i="7"/>
  <c r="H452" i="7"/>
  <c r="G452" i="7"/>
  <c r="H451" i="7"/>
  <c r="G451" i="7"/>
  <c r="H450" i="7"/>
  <c r="G450" i="7"/>
  <c r="H449" i="7"/>
  <c r="G449" i="7"/>
  <c r="H447" i="7"/>
  <c r="G447" i="7"/>
  <c r="H446" i="7"/>
  <c r="G446" i="7"/>
  <c r="H444" i="7"/>
  <c r="G444" i="7"/>
  <c r="H442" i="7"/>
  <c r="G442" i="7"/>
  <c r="H441" i="7"/>
  <c r="G441" i="7"/>
  <c r="H440" i="7"/>
  <c r="G440" i="7"/>
  <c r="H439" i="7"/>
  <c r="G439" i="7"/>
  <c r="H438" i="7"/>
  <c r="G438" i="7"/>
  <c r="H437" i="7"/>
  <c r="G437" i="7"/>
  <c r="H436" i="7"/>
  <c r="G436" i="7"/>
  <c r="H435" i="7"/>
  <c r="G435" i="7"/>
  <c r="H430" i="7"/>
  <c r="G430" i="7"/>
  <c r="H429" i="7"/>
  <c r="G429" i="7"/>
  <c r="H428" i="7"/>
  <c r="G428" i="7"/>
  <c r="H426" i="7"/>
  <c r="G426" i="7"/>
  <c r="H425" i="7"/>
  <c r="G425" i="7"/>
  <c r="H424" i="7"/>
  <c r="G424" i="7"/>
  <c r="H423" i="7"/>
  <c r="G423" i="7"/>
  <c r="H422" i="7"/>
  <c r="G422" i="7"/>
  <c r="H421" i="7"/>
  <c r="G421" i="7"/>
  <c r="H420" i="7"/>
  <c r="G420" i="7"/>
  <c r="H419" i="7"/>
  <c r="G419" i="7"/>
  <c r="H417" i="7"/>
  <c r="G417" i="7"/>
  <c r="H416" i="7"/>
  <c r="G416" i="7"/>
  <c r="H415" i="7"/>
  <c r="G415" i="7"/>
  <c r="H414" i="7"/>
  <c r="G414" i="7"/>
  <c r="H413" i="7"/>
  <c r="G413" i="7"/>
  <c r="H412" i="7"/>
  <c r="G412" i="7"/>
  <c r="H411" i="7"/>
  <c r="G411" i="7"/>
  <c r="H409" i="7"/>
  <c r="G409" i="7"/>
  <c r="H408" i="7"/>
  <c r="G408" i="7"/>
  <c r="H407" i="7"/>
  <c r="G407" i="7"/>
  <c r="H406" i="7"/>
  <c r="G406" i="7"/>
  <c r="H405" i="7"/>
  <c r="G405" i="7"/>
  <c r="H404" i="7"/>
  <c r="G404" i="7"/>
  <c r="H403" i="7"/>
  <c r="G403" i="7"/>
  <c r="H402" i="7"/>
  <c r="G402" i="7"/>
  <c r="H400" i="7"/>
  <c r="G400" i="7"/>
  <c r="H398" i="7"/>
  <c r="G398" i="7"/>
  <c r="H397" i="7"/>
  <c r="G397" i="7"/>
  <c r="H396" i="7"/>
  <c r="G396" i="7"/>
  <c r="H395" i="7"/>
  <c r="G395" i="7"/>
  <c r="H394" i="7"/>
  <c r="G394" i="7"/>
  <c r="H393" i="7"/>
  <c r="G393" i="7"/>
  <c r="H392" i="7"/>
  <c r="G392" i="7"/>
  <c r="H390" i="7"/>
  <c r="G390" i="7"/>
  <c r="H389" i="7"/>
  <c r="G389" i="7"/>
  <c r="H388" i="7"/>
  <c r="G388" i="7"/>
  <c r="H387" i="7"/>
  <c r="G387" i="7"/>
  <c r="G386" i="7"/>
  <c r="H385" i="7"/>
  <c r="G385" i="7"/>
  <c r="G384" i="7"/>
  <c r="I383" i="7"/>
  <c r="H383" i="7"/>
  <c r="G383" i="7"/>
  <c r="H382" i="7"/>
  <c r="G382" i="7"/>
  <c r="H381" i="7"/>
  <c r="G381" i="7"/>
  <c r="H380" i="7"/>
  <c r="G380" i="7"/>
  <c r="H379" i="7"/>
  <c r="G379" i="7"/>
  <c r="H378" i="7"/>
  <c r="G378" i="7"/>
  <c r="H376" i="7"/>
  <c r="G376" i="7"/>
  <c r="H375" i="7"/>
  <c r="G375" i="7"/>
  <c r="H374" i="7"/>
  <c r="G374" i="7"/>
  <c r="H373" i="7"/>
  <c r="G373" i="7"/>
  <c r="H372" i="7"/>
  <c r="G372" i="7"/>
  <c r="H371" i="7"/>
  <c r="G371" i="7"/>
  <c r="H370" i="7"/>
  <c r="G370" i="7"/>
  <c r="H368" i="7"/>
  <c r="G368" i="7"/>
  <c r="H367" i="7"/>
  <c r="G367" i="7"/>
  <c r="H366" i="7"/>
  <c r="G366" i="7"/>
  <c r="H365" i="7"/>
  <c r="G365" i="7"/>
  <c r="H363" i="7"/>
  <c r="G363" i="7"/>
  <c r="H362" i="7"/>
  <c r="G362" i="7"/>
  <c r="H361" i="7"/>
  <c r="G361" i="7"/>
  <c r="H359" i="7"/>
  <c r="G359" i="7"/>
  <c r="H357" i="7"/>
  <c r="G357" i="7"/>
  <c r="H356" i="7"/>
  <c r="G356" i="7"/>
  <c r="H355" i="7"/>
  <c r="G355" i="7"/>
  <c r="H354" i="7"/>
  <c r="G354" i="7"/>
  <c r="H352" i="7"/>
  <c r="G352" i="7"/>
  <c r="I351" i="7"/>
  <c r="H351" i="7"/>
  <c r="G351" i="7"/>
  <c r="H350" i="7"/>
  <c r="G350" i="7"/>
  <c r="H349" i="7"/>
  <c r="G349" i="7"/>
  <c r="H348" i="7"/>
  <c r="G348" i="7"/>
  <c r="H347" i="7"/>
  <c r="G347" i="7"/>
  <c r="H345" i="7"/>
  <c r="G345" i="7"/>
  <c r="H344" i="7"/>
  <c r="G344" i="7"/>
  <c r="I343" i="7"/>
  <c r="H343" i="7"/>
  <c r="G343" i="7"/>
  <c r="H341" i="7"/>
  <c r="G341" i="7"/>
  <c r="H340" i="7"/>
  <c r="G340" i="7"/>
  <c r="H339" i="7"/>
  <c r="G339" i="7"/>
  <c r="H337" i="7"/>
  <c r="G337" i="7"/>
  <c r="H336" i="7"/>
  <c r="G336" i="7"/>
  <c r="H335" i="7"/>
  <c r="G335" i="7"/>
  <c r="H334" i="7"/>
  <c r="G334" i="7"/>
  <c r="H333" i="7"/>
  <c r="G333" i="7"/>
  <c r="H332" i="7"/>
  <c r="G332" i="7"/>
  <c r="H330" i="7"/>
  <c r="G330" i="7"/>
  <c r="H328" i="7"/>
  <c r="G328" i="7"/>
  <c r="H327" i="7"/>
  <c r="G327" i="7"/>
  <c r="H325" i="7"/>
  <c r="G325" i="7"/>
  <c r="H324" i="7"/>
  <c r="G324" i="7"/>
  <c r="H323" i="7"/>
  <c r="G323" i="7"/>
  <c r="H322" i="7"/>
  <c r="G322" i="7"/>
  <c r="H321" i="7"/>
  <c r="G321" i="7"/>
  <c r="H320" i="7"/>
  <c r="G320" i="7"/>
  <c r="H319" i="7"/>
  <c r="G319" i="7"/>
  <c r="H318" i="7"/>
  <c r="G318" i="7"/>
  <c r="H317" i="7"/>
  <c r="G317" i="7"/>
  <c r="H315" i="7"/>
  <c r="G315" i="7"/>
  <c r="H313" i="7"/>
  <c r="G313" i="7"/>
  <c r="H312" i="7"/>
  <c r="G312" i="7"/>
  <c r="H310" i="7"/>
  <c r="G310" i="7"/>
  <c r="H309" i="7"/>
  <c r="G309" i="7"/>
  <c r="H308" i="7"/>
  <c r="G308" i="7"/>
  <c r="H307" i="7"/>
  <c r="G307" i="7"/>
  <c r="H306" i="7"/>
  <c r="G306" i="7"/>
  <c r="H305" i="7"/>
  <c r="G305" i="7"/>
  <c r="H304" i="7"/>
  <c r="G304" i="7"/>
  <c r="H303" i="7"/>
  <c r="G303" i="7"/>
  <c r="H302" i="7"/>
  <c r="G302" i="7"/>
  <c r="H301" i="7"/>
  <c r="G301" i="7"/>
  <c r="H300" i="7"/>
  <c r="G300" i="7"/>
  <c r="H299" i="7"/>
  <c r="G299" i="7"/>
  <c r="H297" i="7"/>
  <c r="G297" i="7"/>
  <c r="H296" i="7"/>
  <c r="G296" i="7"/>
  <c r="H295" i="7"/>
  <c r="G295" i="7"/>
  <c r="H294" i="7"/>
  <c r="G294" i="7"/>
  <c r="H293" i="7"/>
  <c r="G293" i="7"/>
  <c r="H292" i="7"/>
  <c r="G292" i="7"/>
  <c r="H291" i="7"/>
  <c r="G291" i="7"/>
  <c r="H290" i="7"/>
  <c r="G290" i="7"/>
  <c r="H289" i="7"/>
  <c r="G289" i="7"/>
  <c r="H287" i="7"/>
  <c r="G287" i="7"/>
  <c r="H285" i="7"/>
  <c r="G285" i="7"/>
  <c r="I284" i="7"/>
  <c r="H284" i="7"/>
  <c r="G284" i="7"/>
  <c r="H283" i="7"/>
  <c r="G283" i="7"/>
  <c r="H281" i="7"/>
  <c r="G281" i="7"/>
  <c r="H280" i="7"/>
  <c r="G280" i="7"/>
  <c r="H278" i="7"/>
  <c r="G278" i="7"/>
  <c r="H277" i="7"/>
  <c r="G277" i="7"/>
  <c r="H275" i="7"/>
  <c r="G275" i="7"/>
  <c r="H273" i="7"/>
  <c r="G273" i="7"/>
  <c r="H272" i="7"/>
  <c r="G272" i="7"/>
  <c r="H271" i="7"/>
  <c r="G271" i="7"/>
  <c r="H269" i="7"/>
  <c r="G269" i="7"/>
  <c r="H267" i="7"/>
  <c r="G267" i="7"/>
  <c r="H266" i="7"/>
  <c r="G266" i="7"/>
  <c r="H265" i="7"/>
  <c r="G265" i="7"/>
  <c r="H264" i="7"/>
  <c r="G264" i="7"/>
  <c r="H263" i="7"/>
  <c r="G263" i="7"/>
  <c r="H262" i="7"/>
  <c r="G262" i="7"/>
  <c r="H261" i="7"/>
  <c r="G261" i="7"/>
  <c r="H260" i="7"/>
  <c r="G260" i="7"/>
  <c r="G259" i="7"/>
  <c r="G258" i="7"/>
  <c r="G257" i="7"/>
  <c r="H255" i="7"/>
  <c r="G255" i="7"/>
  <c r="H254" i="7"/>
  <c r="G254" i="7"/>
  <c r="H252" i="7"/>
  <c r="G252" i="7"/>
  <c r="H251" i="7"/>
  <c r="G251" i="7"/>
  <c r="H250" i="7"/>
  <c r="G250" i="7"/>
  <c r="H249" i="7"/>
  <c r="G249" i="7"/>
  <c r="H247" i="7"/>
  <c r="G247" i="7"/>
  <c r="H245" i="7"/>
  <c r="G245" i="7"/>
  <c r="G243" i="7"/>
  <c r="H242" i="7"/>
  <c r="G242" i="7"/>
  <c r="H241" i="7"/>
  <c r="G241" i="7"/>
  <c r="H240" i="7"/>
  <c r="G240" i="7"/>
  <c r="H239" i="7"/>
  <c r="G239" i="7"/>
  <c r="G238" i="7"/>
  <c r="H237" i="7"/>
  <c r="G237" i="7"/>
  <c r="H236" i="7"/>
  <c r="G236" i="7"/>
  <c r="G235" i="7"/>
  <c r="G234" i="7"/>
  <c r="G233" i="7"/>
  <c r="G232" i="7"/>
  <c r="G231" i="7"/>
  <c r="G230" i="7"/>
  <c r="H229" i="7"/>
  <c r="G229" i="7"/>
  <c r="H228" i="7"/>
  <c r="G228" i="7"/>
  <c r="H227" i="7"/>
  <c r="G227" i="7"/>
  <c r="H226" i="7"/>
  <c r="G226" i="7"/>
  <c r="G225" i="7"/>
  <c r="G224" i="7"/>
  <c r="H222" i="7"/>
  <c r="G222" i="7"/>
  <c r="H220" i="7"/>
  <c r="G220" i="7"/>
  <c r="H219" i="7"/>
  <c r="G219" i="7"/>
  <c r="H218" i="7"/>
  <c r="G218" i="7"/>
  <c r="H217" i="7"/>
  <c r="G217" i="7"/>
  <c r="H216" i="7"/>
  <c r="G216" i="7"/>
  <c r="H215" i="7"/>
  <c r="G215" i="7"/>
  <c r="H213" i="7"/>
  <c r="G213" i="7"/>
  <c r="H212" i="7"/>
  <c r="G212" i="7"/>
  <c r="H211" i="7"/>
  <c r="G211" i="7"/>
  <c r="H210" i="7"/>
  <c r="G210" i="7"/>
  <c r="H209" i="7"/>
  <c r="G209" i="7"/>
  <c r="H207" i="7"/>
  <c r="G207" i="7"/>
  <c r="H206" i="7"/>
  <c r="G206" i="7"/>
  <c r="H205" i="7"/>
  <c r="G205" i="7"/>
  <c r="H204" i="7"/>
  <c r="G204" i="7"/>
  <c r="H203" i="7"/>
  <c r="G203" i="7"/>
  <c r="H202" i="7"/>
  <c r="G202" i="7"/>
  <c r="H201" i="7"/>
  <c r="G201" i="7"/>
  <c r="H200" i="7"/>
  <c r="G200" i="7"/>
  <c r="H199" i="7"/>
  <c r="G199" i="7"/>
  <c r="H197" i="7"/>
  <c r="G197" i="7"/>
  <c r="I196" i="7"/>
  <c r="H196" i="7"/>
  <c r="G196" i="7"/>
  <c r="H195" i="7"/>
  <c r="G195" i="7"/>
  <c r="I194" i="7"/>
  <c r="H194" i="7"/>
  <c r="G194" i="7"/>
  <c r="H193" i="7"/>
  <c r="G193" i="7"/>
  <c r="H192" i="7"/>
  <c r="G192" i="7"/>
  <c r="H191" i="7"/>
  <c r="G191" i="7"/>
  <c r="I190" i="7"/>
  <c r="H190" i="7"/>
  <c r="G190" i="7"/>
  <c r="H189" i="7"/>
  <c r="G189" i="7"/>
  <c r="I188" i="7"/>
  <c r="H188" i="7"/>
  <c r="G188" i="7"/>
  <c r="H187" i="7"/>
  <c r="G187" i="7"/>
  <c r="H186" i="7"/>
  <c r="G186" i="7"/>
  <c r="H185" i="7"/>
  <c r="G185" i="7"/>
  <c r="H184" i="7"/>
  <c r="G184" i="7"/>
  <c r="H183" i="7"/>
  <c r="G183" i="7"/>
  <c r="H182" i="7"/>
  <c r="G182" i="7"/>
  <c r="H181" i="7"/>
  <c r="G181" i="7"/>
  <c r="I180" i="7"/>
  <c r="H180" i="7"/>
  <c r="G180" i="7"/>
  <c r="I179" i="7"/>
  <c r="H179" i="7"/>
  <c r="G179" i="7"/>
  <c r="H178" i="7"/>
  <c r="G178" i="7"/>
  <c r="H177" i="7"/>
  <c r="G177" i="7"/>
  <c r="H176" i="7"/>
  <c r="G176" i="7"/>
  <c r="H175" i="7"/>
  <c r="G175" i="7"/>
  <c r="H174" i="7"/>
  <c r="G174" i="7"/>
  <c r="I173" i="7"/>
  <c r="H173" i="7"/>
  <c r="G173" i="7"/>
  <c r="H171" i="7"/>
  <c r="G171" i="7"/>
  <c r="H170" i="7"/>
  <c r="G170" i="7"/>
  <c r="H169" i="7"/>
  <c r="G169" i="7"/>
  <c r="H167" i="7"/>
  <c r="G167" i="7"/>
  <c r="H165" i="7"/>
  <c r="G165" i="7"/>
  <c r="H164" i="7"/>
  <c r="G164" i="7"/>
  <c r="H163" i="7"/>
  <c r="G163" i="7"/>
  <c r="H162" i="7"/>
  <c r="G162" i="7"/>
  <c r="H161" i="7"/>
  <c r="G161" i="7"/>
  <c r="H159" i="7"/>
  <c r="G159" i="7"/>
  <c r="H157" i="7"/>
  <c r="G157" i="7"/>
  <c r="G155" i="7"/>
  <c r="H154" i="7"/>
  <c r="G154" i="7"/>
  <c r="H152" i="7"/>
  <c r="G152" i="7"/>
  <c r="H150" i="7"/>
  <c r="G150" i="7"/>
  <c r="H148" i="7"/>
  <c r="G148" i="7"/>
  <c r="H147" i="7"/>
  <c r="G147" i="7"/>
  <c r="H145" i="7"/>
  <c r="G145" i="7"/>
  <c r="H144" i="7"/>
  <c r="G144" i="7"/>
  <c r="H143" i="7"/>
  <c r="G143" i="7"/>
  <c r="H141" i="7"/>
  <c r="G141" i="7"/>
  <c r="H140" i="7"/>
  <c r="G140" i="7"/>
  <c r="H139" i="7"/>
  <c r="G139" i="7"/>
  <c r="H137" i="7"/>
  <c r="H136" i="7"/>
  <c r="H135" i="7"/>
  <c r="H134" i="7"/>
  <c r="H132" i="7"/>
  <c r="H131" i="7"/>
  <c r="H130" i="7"/>
  <c r="H129" i="7"/>
  <c r="H128" i="7"/>
  <c r="G128" i="7"/>
  <c r="H127" i="7"/>
  <c r="G127" i="7"/>
  <c r="H126" i="7"/>
  <c r="G126" i="7"/>
  <c r="H125" i="7"/>
  <c r="G125" i="7"/>
  <c r="H124" i="7"/>
  <c r="G124" i="7"/>
  <c r="H123" i="7"/>
  <c r="G123" i="7"/>
  <c r="H122" i="7"/>
  <c r="G122" i="7"/>
  <c r="H121" i="7"/>
  <c r="G121" i="7"/>
  <c r="H120" i="7"/>
  <c r="G120" i="7"/>
  <c r="H119" i="7"/>
  <c r="G119" i="7"/>
  <c r="H118" i="7"/>
  <c r="G118" i="7"/>
  <c r="H117" i="7"/>
  <c r="H114" i="7"/>
  <c r="G114" i="7"/>
  <c r="H112" i="7"/>
  <c r="G112" i="7"/>
  <c r="H111" i="7"/>
  <c r="G111" i="7"/>
  <c r="H110" i="7"/>
  <c r="G110" i="7"/>
  <c r="H108" i="7"/>
  <c r="G108" i="7"/>
  <c r="H107" i="7"/>
  <c r="G107" i="7"/>
  <c r="H106" i="7"/>
  <c r="G106" i="7"/>
  <c r="H105" i="7"/>
  <c r="G105" i="7"/>
  <c r="H103" i="7"/>
  <c r="G103" i="7"/>
  <c r="H102" i="7"/>
  <c r="G102" i="7"/>
  <c r="H100" i="7"/>
  <c r="G100" i="7"/>
  <c r="H98" i="7"/>
  <c r="G98" i="7"/>
  <c r="H96" i="7"/>
  <c r="G96" i="7"/>
  <c r="H95" i="7"/>
  <c r="G95" i="7"/>
  <c r="H94" i="7"/>
  <c r="G94" i="7"/>
  <c r="H92" i="7"/>
  <c r="G92" i="7"/>
  <c r="H91" i="7"/>
  <c r="G91" i="7"/>
  <c r="H90" i="7"/>
  <c r="G90" i="7"/>
  <c r="H89" i="7"/>
  <c r="G89" i="7"/>
  <c r="H88" i="7"/>
  <c r="G88" i="7"/>
  <c r="H87" i="7"/>
  <c r="G87" i="7"/>
  <c r="G86" i="7"/>
  <c r="H85" i="7"/>
  <c r="G85" i="7"/>
  <c r="H84" i="7"/>
  <c r="G84" i="7"/>
  <c r="G82" i="7"/>
  <c r="H80" i="7"/>
  <c r="G80" i="7"/>
  <c r="H79" i="7"/>
  <c r="G79" i="7"/>
  <c r="H78" i="7"/>
  <c r="G78" i="7"/>
  <c r="H77" i="7"/>
  <c r="G77" i="7"/>
  <c r="H75" i="7"/>
  <c r="G75" i="7"/>
  <c r="H74" i="7"/>
  <c r="G74" i="7"/>
  <c r="H73" i="7"/>
  <c r="G73" i="7"/>
  <c r="H72" i="7"/>
  <c r="G72" i="7"/>
  <c r="H71" i="7"/>
  <c r="G71" i="7"/>
  <c r="I70" i="7"/>
  <c r="H70" i="7"/>
  <c r="G70" i="7"/>
  <c r="H69" i="7"/>
  <c r="G69" i="7"/>
  <c r="H67" i="7"/>
  <c r="G67" i="7"/>
  <c r="H66" i="7"/>
  <c r="G66" i="7"/>
  <c r="H65" i="7"/>
  <c r="G65" i="7"/>
  <c r="H63" i="7"/>
  <c r="G63" i="7"/>
  <c r="H62" i="7"/>
  <c r="G62" i="7"/>
  <c r="I61" i="7"/>
  <c r="H61" i="7"/>
  <c r="G61" i="7"/>
  <c r="H59" i="7"/>
  <c r="G59" i="7"/>
  <c r="H58" i="7"/>
  <c r="G58" i="7"/>
  <c r="H57" i="7"/>
  <c r="G57" i="7"/>
  <c r="H55" i="7"/>
  <c r="G55" i="7"/>
  <c r="H53" i="7"/>
  <c r="G53" i="7"/>
  <c r="H51" i="7"/>
  <c r="G51" i="7"/>
  <c r="H49" i="7"/>
  <c r="G49" i="7"/>
  <c r="H47" i="7"/>
  <c r="G47" i="7"/>
  <c r="H45" i="7"/>
  <c r="G45" i="7"/>
  <c r="H44" i="7"/>
  <c r="G44" i="7"/>
  <c r="H43" i="7"/>
  <c r="G43" i="7"/>
  <c r="H42" i="7"/>
  <c r="G42" i="7"/>
  <c r="H41" i="7"/>
  <c r="G41" i="7"/>
  <c r="H40" i="7"/>
  <c r="G40" i="7"/>
  <c r="H39" i="7"/>
  <c r="G39" i="7"/>
  <c r="H38" i="7"/>
  <c r="G38" i="7"/>
  <c r="H37" i="7"/>
  <c r="G37" i="7"/>
  <c r="H36" i="7"/>
  <c r="G36" i="7"/>
  <c r="H35" i="7"/>
  <c r="G35" i="7"/>
  <c r="H34" i="7"/>
  <c r="G34" i="7"/>
  <c r="H32" i="7"/>
  <c r="G32" i="7"/>
  <c r="H31" i="7"/>
  <c r="G31" i="7"/>
  <c r="H29" i="7"/>
  <c r="G29" i="7"/>
  <c r="H28" i="7"/>
  <c r="G28" i="7"/>
  <c r="H27" i="7"/>
  <c r="G27" i="7"/>
  <c r="H26" i="7"/>
  <c r="G26" i="7"/>
  <c r="H25" i="7"/>
  <c r="G25" i="7"/>
  <c r="G23" i="7"/>
  <c r="H21" i="7"/>
  <c r="G21" i="7"/>
  <c r="H20" i="7"/>
  <c r="G20" i="7"/>
  <c r="H19" i="7"/>
  <c r="G19" i="7"/>
  <c r="H18" i="7"/>
  <c r="G18" i="7"/>
  <c r="I17" i="7"/>
  <c r="H17" i="7"/>
  <c r="G17" i="7"/>
  <c r="H16" i="7"/>
  <c r="G16" i="7"/>
  <c r="H15" i="7"/>
  <c r="G15" i="7"/>
  <c r="H14" i="7"/>
  <c r="G14" i="7"/>
  <c r="H12" i="7"/>
  <c r="G12" i="7"/>
  <c r="H11" i="7"/>
  <c r="G11" i="7"/>
  <c r="H10" i="7"/>
  <c r="G10" i="7"/>
  <c r="H9" i="7"/>
  <c r="G9" i="7"/>
</calcChain>
</file>

<file path=xl/sharedStrings.xml><?xml version="1.0" encoding="utf-8"?>
<sst xmlns="http://schemas.openxmlformats.org/spreadsheetml/2006/main" count="3568" uniqueCount="495">
  <si>
    <t>Адрес (местонахождение) парковки</t>
  </si>
  <si>
    <t>Информация о владельце парковки</t>
  </si>
  <si>
    <t>Телефон</t>
  </si>
  <si>
    <t>РЕЕСТР</t>
  </si>
  <si>
    <t>Номер реестровой записи/дата включе-ния в реестр</t>
  </si>
  <si>
    <t>НГО</t>
  </si>
  <si>
    <t>бесплатно</t>
  </si>
  <si>
    <t>ЛА</t>
  </si>
  <si>
    <t>ул. Суворова, 2</t>
  </si>
  <si>
    <t>ул. Металлургов, 47</t>
  </si>
  <si>
    <t>пр. Металлургов, 4,6</t>
  </si>
  <si>
    <t>пр. Металлургов, 8,12</t>
  </si>
  <si>
    <t>пр. Металлургов, 14</t>
  </si>
  <si>
    <t>пр. Металлургов, 16 (от Юности до Коммунара)</t>
  </si>
  <si>
    <t>пр. Металлургов, 16 (Сад Металлургов и КСЦ)</t>
  </si>
  <si>
    <t>пр. Металлургов, 34 (Вилка Ложка)</t>
  </si>
  <si>
    <t>пр. Металлургов, 48</t>
  </si>
  <si>
    <t>пр. Металлургов, 52</t>
  </si>
  <si>
    <t>пр. Металлургов, 49</t>
  </si>
  <si>
    <t>пр. Металлургов, 37 (Суд)</t>
  </si>
  <si>
    <t>пр. Металлургов, 33</t>
  </si>
  <si>
    <t>пр. Металлургов, 31</t>
  </si>
  <si>
    <t>пр. Металлургов, 27</t>
  </si>
  <si>
    <t>пр. Металлургов, 25</t>
  </si>
  <si>
    <t>пр. Металлургов, 21</t>
  </si>
  <si>
    <t>пр. Металлургов, 9, 13</t>
  </si>
  <si>
    <t>пр. Металлургов, 3, 5</t>
  </si>
  <si>
    <t>пр.Курако, 16</t>
  </si>
  <si>
    <t>пр.Курако, 20</t>
  </si>
  <si>
    <t>пр.Курако, 22</t>
  </si>
  <si>
    <t>пр.Курако, 24</t>
  </si>
  <si>
    <t>ул. Кирова, 1к1, Храм Петра и Февронии</t>
  </si>
  <si>
    <t>пр. Курако, 28</t>
  </si>
  <si>
    <t>пр. Курако, 30</t>
  </si>
  <si>
    <t>пр. Курако, 6, 8, 10</t>
  </si>
  <si>
    <t>пр. Курако, 51А/2</t>
  </si>
  <si>
    <t>пр. Курако, 49А, 49к1А</t>
  </si>
  <si>
    <t>пр. Курако, 47, 45, 43</t>
  </si>
  <si>
    <t>пр. Курако, 39</t>
  </si>
  <si>
    <t>пр. Курако, 37</t>
  </si>
  <si>
    <t>пр. Курако, 33</t>
  </si>
  <si>
    <t>пр. Курако, 27, 25, 23А</t>
  </si>
  <si>
    <t>пр. Курако, 15</t>
  </si>
  <si>
    <t>пр. Курако, 11</t>
  </si>
  <si>
    <t>пр. Курако, 7</t>
  </si>
  <si>
    <t>пр.Строителей, 12А</t>
  </si>
  <si>
    <t>пр.Строителей, 12/2</t>
  </si>
  <si>
    <t>пр.Строителей, 20, 22</t>
  </si>
  <si>
    <t>пр.Строителей, 24 "Дворец спорта"</t>
  </si>
  <si>
    <t>пр.Строителей, 54</t>
  </si>
  <si>
    <t>пр.Строителей, 56, 56/1, 56/2</t>
  </si>
  <si>
    <t>пр.Строителей, 64</t>
  </si>
  <si>
    <t>пр.Строителей, 69</t>
  </si>
  <si>
    <t>пр.Строителей, 57</t>
  </si>
  <si>
    <t>пр.Строителей, 53</t>
  </si>
  <si>
    <t>пр.Строителей, 47</t>
  </si>
  <si>
    <t>пр.Строителей, 43</t>
  </si>
  <si>
    <t>пр.Строителей, 21</t>
  </si>
  <si>
    <t>пр. Бардина, 8</t>
  </si>
  <si>
    <t>пр. Бардина, 14</t>
  </si>
  <si>
    <t>пр. Бардина, 15</t>
  </si>
  <si>
    <t>пр. Бардина, 20, 24</t>
  </si>
  <si>
    <t>пр. Бардина, 26а (Поликлиника №1)</t>
  </si>
  <si>
    <t>пр. Бардина, 28</t>
  </si>
  <si>
    <t>пр. Бардина, 38</t>
  </si>
  <si>
    <t>пр. Бардина, 29/3</t>
  </si>
  <si>
    <t>пр. Бардина, 3</t>
  </si>
  <si>
    <t>ул. Вокзальная, 10</t>
  </si>
  <si>
    <t>ул. Вокзальная, 12/2</t>
  </si>
  <si>
    <t>ул. Транспортная, 43</t>
  </si>
  <si>
    <t>ул. Транспортная, 91Б (маг. Пятерочка)</t>
  </si>
  <si>
    <t>ул. Транспортная, 77Б</t>
  </si>
  <si>
    <t>ул. Кирова, 12</t>
  </si>
  <si>
    <t>ул. Кирова, 14</t>
  </si>
  <si>
    <t>ул. Кирова, 50</t>
  </si>
  <si>
    <t>ул. Кирова, 52А (Банк Авангард)</t>
  </si>
  <si>
    <t>ул. Кирова, 56</t>
  </si>
  <si>
    <t>ул. Кирова, 58А (Банк ВТБ)</t>
  </si>
  <si>
    <t>ул. Кирова, 74 (Банк Кузнецкбизнецбанк)</t>
  </si>
  <si>
    <t>ул. Кирова, 82</t>
  </si>
  <si>
    <t>ул. Кирова, 88</t>
  </si>
  <si>
    <t>ул. Кирова, 89Б</t>
  </si>
  <si>
    <t>ул. Кирова, 71 (Администрацмия города)</t>
  </si>
  <si>
    <t>ул. Кирова, 49А, 47А</t>
  </si>
  <si>
    <t>ул. Кирова, 39</t>
  </si>
  <si>
    <t>ул. Кирова, 37</t>
  </si>
  <si>
    <t>ул. Кирова, 33</t>
  </si>
  <si>
    <t>ул. Кирова, 23А</t>
  </si>
  <si>
    <t>ул. Кирова, 21А</t>
  </si>
  <si>
    <t>ул. Кирова, 17</t>
  </si>
  <si>
    <t>Сквер комсомольской славы</t>
  </si>
  <si>
    <t>ул. Вокзальная, 31</t>
  </si>
  <si>
    <t>ул. Дузенко, 7</t>
  </si>
  <si>
    <t>ул. Дузенко, 41А</t>
  </si>
  <si>
    <t>ул. Дузенко, 16А</t>
  </si>
  <si>
    <t>ул. 40 лет Победы, 6, 8</t>
  </si>
  <si>
    <t>пр. Авиаторов, 62 (Администрация района)</t>
  </si>
  <si>
    <t>пр. Авиаторов, 82А</t>
  </si>
  <si>
    <t>пр. Авиаторов, 112А</t>
  </si>
  <si>
    <t>пр. Авиаторов, 72 А (местный проезд)</t>
  </si>
  <si>
    <t>пр. Авиаторов, 94А (местный проезд)</t>
  </si>
  <si>
    <t>ул. Косыгина, 53</t>
  </si>
  <si>
    <t>ул. Косыгина, 55</t>
  </si>
  <si>
    <t>пр. Ермакова, 9а (БЦ "СИТИ")</t>
  </si>
  <si>
    <t>пр. Ермакова (ост. "проспект Ермакова")-нечет.</t>
  </si>
  <si>
    <t>пр. Ермакова, 1к1 (местный проезд)</t>
  </si>
  <si>
    <t>пр. Ермакова,1к2 ("ЗАГС"), (местный проезд)</t>
  </si>
  <si>
    <t>Сквер Ермакова у пр. Ермакова, 3 (местный проезд)</t>
  </si>
  <si>
    <t>Сквер Ермакова у пр. Ермакова, 5 (местный проезд)</t>
  </si>
  <si>
    <t>Сквер Ермакова у пр. Ермакова, 7 (местный проезд)</t>
  </si>
  <si>
    <t>ул. Карла Маркса, 1</t>
  </si>
  <si>
    <t>ул. Карла Маркса, 3</t>
  </si>
  <si>
    <t>ул. Карла Маркса, 22</t>
  </si>
  <si>
    <t>ул. Кутузова, 2</t>
  </si>
  <si>
    <t>ул. Кутузова, 10</t>
  </si>
  <si>
    <t>ул. Кутузова, 68</t>
  </si>
  <si>
    <t>ул. Кутузова, 70</t>
  </si>
  <si>
    <t>Парк Гагарина</t>
  </si>
  <si>
    <t>ул. Кутузова, 31 (местный проезд)</t>
  </si>
  <si>
    <t>ул. Кутузова, 25 (местный проезд)</t>
  </si>
  <si>
    <t>пр. Бардина, 26/1 (DNS), (местный проезд)</t>
  </si>
  <si>
    <t>ул. Магнитогорская, 16А</t>
  </si>
  <si>
    <t>ул. Мичурина, 8</t>
  </si>
  <si>
    <t>ул. Мичурина, 14</t>
  </si>
  <si>
    <t>ул. Мичурина, 13</t>
  </si>
  <si>
    <t>ул. Мичурина, 3</t>
  </si>
  <si>
    <t>ул. Кутузова, 27</t>
  </si>
  <si>
    <t>ул. Сеченова, 30</t>
  </si>
  <si>
    <t>ул. Сеченова, 28, 26</t>
  </si>
  <si>
    <t>пр. Октябрьский, 10А</t>
  </si>
  <si>
    <t>ул. Ушинского, 6</t>
  </si>
  <si>
    <t>ул. Ушинского, 8</t>
  </si>
  <si>
    <t>пр. Металлургов, 45</t>
  </si>
  <si>
    <t>пр. Металлургов, 47</t>
  </si>
  <si>
    <t>ул. Ушинского, 7</t>
  </si>
  <si>
    <t>ул. Ушинского, 5 (школа №52)</t>
  </si>
  <si>
    <t>ул. Ушинского, 1</t>
  </si>
  <si>
    <t>ул. Юбилейная, 35</t>
  </si>
  <si>
    <t>переулок Бульварный</t>
  </si>
  <si>
    <t>переулок Бульварный, 4</t>
  </si>
  <si>
    <t>переулок Кедровый</t>
  </si>
  <si>
    <t>переулок Кедровый, 3А</t>
  </si>
  <si>
    <t>проезд Библиотечный</t>
  </si>
  <si>
    <t>пр. Строителей, 47/9</t>
  </si>
  <si>
    <t>ул. Фестивальная, 2</t>
  </si>
  <si>
    <t>проезд Крепостной</t>
  </si>
  <si>
    <t>проезд Чекистов</t>
  </si>
  <si>
    <t>пр-д Чекистов, 9</t>
  </si>
  <si>
    <t>проспект Архитекторов</t>
  </si>
  <si>
    <t>площадь "Донбасса" (ул. Косыгина, 35)</t>
  </si>
  <si>
    <t>площадь "Донбасса" (ул. Косыгина, 29)</t>
  </si>
  <si>
    <t>ул. 25 лет Октября, 2</t>
  </si>
  <si>
    <t>ул. Энтузиастов, 10</t>
  </si>
  <si>
    <t>ул. Кирова, 5</t>
  </si>
  <si>
    <t>ул. Кирова, 10</t>
  </si>
  <si>
    <t>ул. Энтузиастов, 21 (ресторан "Москва")</t>
  </si>
  <si>
    <t>проспект Советской Армии</t>
  </si>
  <si>
    <t>пр. Советской Армии, 41, 45</t>
  </si>
  <si>
    <t>пр. Советской Армии, 49</t>
  </si>
  <si>
    <t>пр. Советской Армии, 49В</t>
  </si>
  <si>
    <t>остановка "Климасенко" (нечетная)</t>
  </si>
  <si>
    <t>остановка "Климасенко" (четная)</t>
  </si>
  <si>
    <t>остановка "Березка" (четная)</t>
  </si>
  <si>
    <t>ул. 40 лет ВЛКСМ, 5, 9</t>
  </si>
  <si>
    <t>пр. Советской Армии, 2А</t>
  </si>
  <si>
    <t>ул. 40 лет ВЛКСМ, 32</t>
  </si>
  <si>
    <t>пр. Советской Армии, 11</t>
  </si>
  <si>
    <t>ул. Белана, 19 (Почта)</t>
  </si>
  <si>
    <t>ул. Грдины, 19</t>
  </si>
  <si>
    <t>ул.Водопадная, 18 (Спасо-Преображенский собор)</t>
  </si>
  <si>
    <t>ул. Сибяряков-Гвардейцев, 2</t>
  </si>
  <si>
    <t>ул. Воробьева, 1</t>
  </si>
  <si>
    <t>ул. Воробьева, 3</t>
  </si>
  <si>
    <t>ул. Грдины, 1</t>
  </si>
  <si>
    <t>ул. Грдины, 7</t>
  </si>
  <si>
    <t>ул. Грдины, 13</t>
  </si>
  <si>
    <t>ул. Грдины, 17А (БЦ "Меркурий")</t>
  </si>
  <si>
    <t>ул. Грдины, 6А</t>
  </si>
  <si>
    <t>ул. Грдины, 10</t>
  </si>
  <si>
    <t>ул. Димитрова, 32</t>
  </si>
  <si>
    <t>ул. Димитрова, 36</t>
  </si>
  <si>
    <t>ул. Димитрова, 38</t>
  </si>
  <si>
    <t>ул. Дорстроевская, 2</t>
  </si>
  <si>
    <t>проспект Дружбы</t>
  </si>
  <si>
    <t>пр. Дружбы, 13</t>
  </si>
  <si>
    <t>пр. Дружбы, 15</t>
  </si>
  <si>
    <t>пр. Дружбы, 17А</t>
  </si>
  <si>
    <t>пр. Дружбы, 17Б</t>
  </si>
  <si>
    <t>пр. Дружбы, 21</t>
  </si>
  <si>
    <t>пр. Дружбы, 33</t>
  </si>
  <si>
    <t>пр. Дружбы, 43</t>
  </si>
  <si>
    <t>пр. Дружбы, 65</t>
  </si>
  <si>
    <t>ул. 40 лет Победы, 1А</t>
  </si>
  <si>
    <t>пр. Шахтеров, 4 (маг. "Шик")</t>
  </si>
  <si>
    <t>пр. Запсибовцев, 19А</t>
  </si>
  <si>
    <t>ул. Карбышева, 5</t>
  </si>
  <si>
    <t>ул. Карбышева, 3</t>
  </si>
  <si>
    <t>ул. Климасенко, 7/1</t>
  </si>
  <si>
    <t>ул. Климасенко, 15А</t>
  </si>
  <si>
    <t>ул. Климасенко, 6А</t>
  </si>
  <si>
    <t>ул. Клименко, 11Б</t>
  </si>
  <si>
    <t>ул. Тореза, 89А</t>
  </si>
  <si>
    <t>ул. Пушкина, 2</t>
  </si>
  <si>
    <t>ул. Ленина, 31к1</t>
  </si>
  <si>
    <t>шоссе Кузнецкое</t>
  </si>
  <si>
    <t>проспект Кузнецкстроевский</t>
  </si>
  <si>
    <t>ул. Покрышкина, 13</t>
  </si>
  <si>
    <t>пр. Кузнецкстроевский, 11 (Медика)</t>
  </si>
  <si>
    <t>пр. Кузнецкстроевский, 9</t>
  </si>
  <si>
    <t>улица Кузнецова</t>
  </si>
  <si>
    <t>ул. Циолковского, 26</t>
  </si>
  <si>
    <t xml:space="preserve"> ул. Куйбышева, 11</t>
  </si>
  <si>
    <t xml:space="preserve"> ул. Куйбышева, 5</t>
  </si>
  <si>
    <t xml:space="preserve">ул. Лазо, 1 </t>
  </si>
  <si>
    <t>ул. Мичурина, 23</t>
  </si>
  <si>
    <t>пр. Курако, 47Б</t>
  </si>
  <si>
    <t>ул. Лазо, 18</t>
  </si>
  <si>
    <t>ул. Куйбышева, 8</t>
  </si>
  <si>
    <t>улица Ленина</t>
  </si>
  <si>
    <t>ул. Ленина, 24</t>
  </si>
  <si>
    <t>ул. Обнорского, 4</t>
  </si>
  <si>
    <t>ул. Ленина, 34</t>
  </si>
  <si>
    <t>ул. Ленина, 41 (ДК "Алюминщик")</t>
  </si>
  <si>
    <t>ул. Ленина, 43</t>
  </si>
  <si>
    <t>ул. Ленина, 82</t>
  </si>
  <si>
    <t>улица Микрорайон 13</t>
  </si>
  <si>
    <t>ул. Микрорайон 13, 21А</t>
  </si>
  <si>
    <t>проспект Мира</t>
  </si>
  <si>
    <t>пр. Мира, 6</t>
  </si>
  <si>
    <t>улица Мурманская</t>
  </si>
  <si>
    <t>ул. Мурманская, 43</t>
  </si>
  <si>
    <t>улица Народная</t>
  </si>
  <si>
    <t>ул. Народная, 49</t>
  </si>
  <si>
    <t>улица Разведчиков</t>
  </si>
  <si>
    <t>ул. Разведчиков, 42</t>
  </si>
  <si>
    <t>ул. Разведчиков, 50</t>
  </si>
  <si>
    <t>ул. Разведчиков, 52</t>
  </si>
  <si>
    <t>проспект Шахтеров</t>
  </si>
  <si>
    <t>пр. Шахтеров, 3</t>
  </si>
  <si>
    <t>пр. Шахтеров, 15/3</t>
  </si>
  <si>
    <t>пр. Шахтеров, 17</t>
  </si>
  <si>
    <t>пр. Шахтеров, 29</t>
  </si>
  <si>
    <t>улица Невского</t>
  </si>
  <si>
    <t>ул. Невского, 2</t>
  </si>
  <si>
    <t>ул. Невского, 9</t>
  </si>
  <si>
    <t>улица Новаторов</t>
  </si>
  <si>
    <t>ул. Новаторов, 3А</t>
  </si>
  <si>
    <t>проезд от ул. Зорге до ул. Новобайдаевская</t>
  </si>
  <si>
    <t>ул. Новобайдаевская, 9Б</t>
  </si>
  <si>
    <t>ул. Зорге, 36 (школа №110)</t>
  </si>
  <si>
    <t>улица Новоселов</t>
  </si>
  <si>
    <t>ул. Новоселов, 4</t>
  </si>
  <si>
    <t>ул. Новоселов, 35</t>
  </si>
  <si>
    <t>улица Ноградская</t>
  </si>
  <si>
    <t>ул. Ноградская, 4А</t>
  </si>
  <si>
    <t>ул. Ноградская, 12</t>
  </si>
  <si>
    <t>ул. Ноградская, 5Б</t>
  </si>
  <si>
    <t>улица Обнорского</t>
  </si>
  <si>
    <t>ул. Обнорского, 19</t>
  </si>
  <si>
    <t>проспект Октябрьский</t>
  </si>
  <si>
    <t>пр. Октябрьский, 6А</t>
  </si>
  <si>
    <t>пр. Октябрьский, 8</t>
  </si>
  <si>
    <t>пр. Октябрьский, 10</t>
  </si>
  <si>
    <t>пр. Октябрьский, 12</t>
  </si>
  <si>
    <t>пр. Октябрьский, 13</t>
  </si>
  <si>
    <t>пр. Октябрьский, 40</t>
  </si>
  <si>
    <t>пр. Октябрьский, 31</t>
  </si>
  <si>
    <t>пр. Октябрьский, 23</t>
  </si>
  <si>
    <t>улица Орджоникидзе</t>
  </si>
  <si>
    <t>ул. Орджоникидзе, 18</t>
  </si>
  <si>
    <t>ул. Орджоникидзе, 20</t>
  </si>
  <si>
    <t>ул. Орджоникидзе, 26, 28</t>
  </si>
  <si>
    <t>ул. Орджоникидзе, 30</t>
  </si>
  <si>
    <t>ул. Орджоникидзе, 32</t>
  </si>
  <si>
    <t>пр. Металлургов, 39</t>
  </si>
  <si>
    <t>ул. Орджоникидзе, 46</t>
  </si>
  <si>
    <t>ул. Спартака, 24</t>
  </si>
  <si>
    <t>пр. Металлургов, 41</t>
  </si>
  <si>
    <t>ул. Орджоникидзе, 25</t>
  </si>
  <si>
    <t>ул. Орджоникидзе, 21</t>
  </si>
  <si>
    <t>ул. Орджоникидзе, 17</t>
  </si>
  <si>
    <t>улица Первостроителей</t>
  </si>
  <si>
    <t>Сквер Первостроителей</t>
  </si>
  <si>
    <t>улица Пржевальского</t>
  </si>
  <si>
    <t>ул. Пржевальского, 22</t>
  </si>
  <si>
    <t>ул. Пржевальского, 24</t>
  </si>
  <si>
    <t>улица Пролетарская</t>
  </si>
  <si>
    <t>ул. Пролетарская, 2 (маг. "Светофор")</t>
  </si>
  <si>
    <t>улица Пушкина</t>
  </si>
  <si>
    <t>ул. Пушкина, 16</t>
  </si>
  <si>
    <t>ул. Пушкина, 24</t>
  </si>
  <si>
    <t>ул. Пушкина, 24 (у парка)</t>
  </si>
  <si>
    <t>ул. Пушкина, 25</t>
  </si>
  <si>
    <t>ул. Пушкина, 25 (у парка)</t>
  </si>
  <si>
    <t>улица Свердлова</t>
  </si>
  <si>
    <t>ул. Кирова, 57</t>
  </si>
  <si>
    <t>ул. Свердлова, 4</t>
  </si>
  <si>
    <t>улица Сибиряков-Гвардейцев</t>
  </si>
  <si>
    <t>ул. Сибиряков-Гвардейцев, 2</t>
  </si>
  <si>
    <t>пр. Курако, 21Б</t>
  </si>
  <si>
    <t>ул. Невского, 1</t>
  </si>
  <si>
    <t>ул. Воробьева, 1А</t>
  </si>
  <si>
    <t>улица Слесарная</t>
  </si>
  <si>
    <t>ул. Слесарная, 1А (ОАО ПАТП-4)</t>
  </si>
  <si>
    <t>улица Смирнова</t>
  </si>
  <si>
    <t>ул. Смирнова, 11</t>
  </si>
  <si>
    <t>ул. Смирнова, 10</t>
  </si>
  <si>
    <t>ул. Смирнова, 8</t>
  </si>
  <si>
    <t>ул. Обнорского, 11</t>
  </si>
  <si>
    <t>улица Спартака</t>
  </si>
  <si>
    <t>пр. Бардина, 21</t>
  </si>
  <si>
    <t>ул. Спартака, 7 (ЦЗН)</t>
  </si>
  <si>
    <t>ул. Спартака, 9 (Витязь)</t>
  </si>
  <si>
    <t>ул. Кирова, 31, пр. Энтузиастов, 32</t>
  </si>
  <si>
    <t>пр. Энтузиастов, 65</t>
  </si>
  <si>
    <t>пр. Пионерский, 31</t>
  </si>
  <si>
    <t>ул. Орджоникидзе, 50</t>
  </si>
  <si>
    <t>улица Суворова</t>
  </si>
  <si>
    <t>ул. 25 лет Октября, 1</t>
  </si>
  <si>
    <t>ул. Суворова, 5</t>
  </si>
  <si>
    <t>ул. Суворова, 7</t>
  </si>
  <si>
    <t>ул. Суворова, 4</t>
  </si>
  <si>
    <t>пр. Металлургов, 23</t>
  </si>
  <si>
    <t>улица Толбухина</t>
  </si>
  <si>
    <t>ул. Толбухина, 64</t>
  </si>
  <si>
    <t>улица Тольятти</t>
  </si>
  <si>
    <t>ул. Тольятти, 2</t>
  </si>
  <si>
    <t>ул. Тольятти, 26 (маг. "ОАЗИС")</t>
  </si>
  <si>
    <t>ул. Тольятти, 26 (Банк УРАЛСИБ)</t>
  </si>
  <si>
    <t>ул. Франфурта, 2</t>
  </si>
  <si>
    <t>ул. Тольятти, 62/2</t>
  </si>
  <si>
    <t>ул. Тольятти, 62/5</t>
  </si>
  <si>
    <t>ул. Тольятти, 62/6</t>
  </si>
  <si>
    <t>ул. Тольятти, 13</t>
  </si>
  <si>
    <t>пр. Дружбы, 35А</t>
  </si>
  <si>
    <t>пр. Дружбы, 39</t>
  </si>
  <si>
    <t>ул. Тольятти, 25</t>
  </si>
  <si>
    <t>ул. Кирова, 64</t>
  </si>
  <si>
    <t>ул. Тольятти, 27 А (Сквер им. Жукова)</t>
  </si>
  <si>
    <t>улица Тореза</t>
  </si>
  <si>
    <t>ул. Тореза, 42А</t>
  </si>
  <si>
    <t>ул. Тореза, 52</t>
  </si>
  <si>
    <t>ул. Клименко, 38</t>
  </si>
  <si>
    <t>ул. Тореза, 56</t>
  </si>
  <si>
    <t>ул. 40 лет ВЛКСМ, 72</t>
  </si>
  <si>
    <t>ул. Тореза, 89/40</t>
  </si>
  <si>
    <t>ул. Тореза, 43Б</t>
  </si>
  <si>
    <t>ул. Тореза, 35</t>
  </si>
  <si>
    <t>улица Тузовского</t>
  </si>
  <si>
    <t>ул. Тузовского, 7 (приставы)</t>
  </si>
  <si>
    <t>улица Фестивальная</t>
  </si>
  <si>
    <t>ул. Фестивальная, 4</t>
  </si>
  <si>
    <t>улица Филиппова</t>
  </si>
  <si>
    <t>ул. Филиппова, 16</t>
  </si>
  <si>
    <t>улица Франкфурта</t>
  </si>
  <si>
    <t>ул. Франкфурта, 1, 3</t>
  </si>
  <si>
    <t>ул. Франкфурта, 7</t>
  </si>
  <si>
    <t>ул. Франкфурта, 14</t>
  </si>
  <si>
    <t>ул. Франкфурта, 4</t>
  </si>
  <si>
    <t>улица Циолковского</t>
  </si>
  <si>
    <t>ул. Циолковского, 1</t>
  </si>
  <si>
    <t>ул. Циолковского, 21</t>
  </si>
  <si>
    <t>ул. Циолковского, 45А</t>
  </si>
  <si>
    <t>улица Циолковского (местный проезд)</t>
  </si>
  <si>
    <t>ул. Циолковского, 2</t>
  </si>
  <si>
    <t>ул. Циолковского, 4</t>
  </si>
  <si>
    <t>ул. Циолковского, 6 ("Олимп")</t>
  </si>
  <si>
    <t>ул. Циолковского, 8</t>
  </si>
  <si>
    <t>ул. Циолковского, 34</t>
  </si>
  <si>
    <t>ул. Циолковского, 40</t>
  </si>
  <si>
    <t>ул. Циолковского, 50</t>
  </si>
  <si>
    <t>улица Чекалина</t>
  </si>
  <si>
    <t>ул. Петракова, 44</t>
  </si>
  <si>
    <t>ул. Чекалина, 15</t>
  </si>
  <si>
    <t>улица Челюскина</t>
  </si>
  <si>
    <t>ул. Челюскина, 13</t>
  </si>
  <si>
    <t>ул. Челюскина, 38</t>
  </si>
  <si>
    <t>улица Шолохова</t>
  </si>
  <si>
    <t>ул. Братьев Сизых, 7А</t>
  </si>
  <si>
    <t>ул. Братьев Сизых, 9А</t>
  </si>
  <si>
    <t>ул. Братьев Сизых, 11</t>
  </si>
  <si>
    <t>пр. Шахтеров, 34А</t>
  </si>
  <si>
    <t>пр. Шахтеров, 33</t>
  </si>
  <si>
    <t>улица Энтузиастов</t>
  </si>
  <si>
    <t>ул. Энтузиастов, 3, 5, 7</t>
  </si>
  <si>
    <t>улица Ярославская</t>
  </si>
  <si>
    <t>ул. 40лет ВЛКСМ, 1Е</t>
  </si>
  <si>
    <t>ул. Ярославская, 13/1</t>
  </si>
  <si>
    <t>ул. Ярославская, 15Б/1</t>
  </si>
  <si>
    <t>ул. Ярославская, 15Б/2</t>
  </si>
  <si>
    <t>улица Павловского (местный проезд)</t>
  </si>
  <si>
    <t>ул. Павловского, 4</t>
  </si>
  <si>
    <t>ул. Ермакова, 11 (напротив)</t>
  </si>
  <si>
    <t>проспект Пионерский</t>
  </si>
  <si>
    <t>пр. Пионерский, 20 (Сквер Геологов)</t>
  </si>
  <si>
    <t>пр. Пионерский, 29</t>
  </si>
  <si>
    <t>пр. Пионерский, 46</t>
  </si>
  <si>
    <t>пр. Пионерский, 46 (где арка)</t>
  </si>
  <si>
    <t>пр. Пионерский, 12</t>
  </si>
  <si>
    <t>пр. Пионерский, 8</t>
  </si>
  <si>
    <t>пр. Пионерский, 6</t>
  </si>
  <si>
    <t>улица 25 лет Октября</t>
  </si>
  <si>
    <t>улица 40 лет ВЛКСМ</t>
  </si>
  <si>
    <t>улица 40 лет Победы</t>
  </si>
  <si>
    <t>проспект Авиаторов</t>
  </si>
  <si>
    <t>проспект Бардина</t>
  </si>
  <si>
    <t>улица Белана</t>
  </si>
  <si>
    <t>улица Водная</t>
  </si>
  <si>
    <t>улица Водопадная</t>
  </si>
  <si>
    <t>улица Вокзальная</t>
  </si>
  <si>
    <t>улица Воробьева</t>
  </si>
  <si>
    <t>улица Грдины</t>
  </si>
  <si>
    <t>улица Димитрова</t>
  </si>
  <si>
    <t>улица Дорстроевская</t>
  </si>
  <si>
    <t>улица Дузенко</t>
  </si>
  <si>
    <t>проспект Запсибовцев (местный проезд - нечетная сторона)</t>
  </si>
  <si>
    <t>проспекст Запсибовцев (местный проезд - четная сторона)</t>
  </si>
  <si>
    <t>улица Зорге, взлетка</t>
  </si>
  <si>
    <t>улица Карбышева</t>
  </si>
  <si>
    <t>улица Карла Маркса</t>
  </si>
  <si>
    <t>улица Кирова</t>
  </si>
  <si>
    <t>улица Климасенко</t>
  </si>
  <si>
    <t>улица Клименко</t>
  </si>
  <si>
    <t>улица Кольская</t>
  </si>
  <si>
    <t>улица Конева</t>
  </si>
  <si>
    <t>улица Косыгина</t>
  </si>
  <si>
    <t>улица Куйбышева</t>
  </si>
  <si>
    <t>проспект Курако</t>
  </si>
  <si>
    <t>улица Кутузова</t>
  </si>
  <si>
    <t>улица Лазо</t>
  </si>
  <si>
    <t>улица Магнитогорская</t>
  </si>
  <si>
    <t>проспект Металлургов</t>
  </si>
  <si>
    <t>улица Мичурина</t>
  </si>
  <si>
    <t>проспект Ермакова</t>
  </si>
  <si>
    <t>улица Сеченова</t>
  </si>
  <si>
    <t>проспект Строителей</t>
  </si>
  <si>
    <t>улица Транспортная</t>
  </si>
  <si>
    <t>улица Ушинского</t>
  </si>
  <si>
    <t>улица Юбилейная</t>
  </si>
  <si>
    <t>УДКХиБ, г. Новокузнецк, ул. Спартака, 24,  тел. 920-232</t>
  </si>
  <si>
    <t>УДКХиБ, г. Новокузнецк, ул. Спартака, 24, тел. 920-232</t>
  </si>
  <si>
    <t>СибГИУ1</t>
  </si>
  <si>
    <t>СибГИУ2</t>
  </si>
  <si>
    <t>УДКХиБ,  г. Новокузнецк, ул. Спартака, 24, тел. 920-232</t>
  </si>
  <si>
    <t>пр. Курако, 49</t>
  </si>
  <si>
    <t>проезд Вологодского</t>
  </si>
  <si>
    <t>УДКХиБ, г. Новокузнецк, ул. Спартака, 24, тел.920-232</t>
  </si>
  <si>
    <t>ул. Покрышкина, 18А/3 (ГИБДД)</t>
  </si>
  <si>
    <t>ул. Покрышкина, 22А (НОСТАЛЬЖИ)</t>
  </si>
  <si>
    <t>ул. Кирова, 77 (Стомотология)</t>
  </si>
  <si>
    <t>ул. Кирова, 79А (Гимназия №44)</t>
  </si>
  <si>
    <t>ул. Кирова, 97</t>
  </si>
  <si>
    <t>ул. Кирова, 20 (Универмаг)</t>
  </si>
  <si>
    <t>пр. Металлургов, 28 (Драмтеатр)</t>
  </si>
  <si>
    <t>пр. Металлургов, 28 (за Драмтеатром)</t>
  </si>
  <si>
    <t>Площадь гор. Мероприятий (ул. Свердлова, 2)</t>
  </si>
  <si>
    <t>ул. 40 лет ВЛКСМ, 33А</t>
  </si>
  <si>
    <t>пр. Запсибовцев, 16В (ФОК)</t>
  </si>
  <si>
    <t>пр-д Крепостной, 1</t>
  </si>
  <si>
    <t>ш. Кузнецкое, 21 (Столовая)</t>
  </si>
  <si>
    <t>ул. Суворова, 2 (Художественный салон)</t>
  </si>
  <si>
    <t>пр.Курако, 26</t>
  </si>
  <si>
    <t>пр.Курако, 26 (маг. "Калина - Малина")</t>
  </si>
  <si>
    <t>пр. Курако, 51А/1</t>
  </si>
  <si>
    <t>ул. Кутузова, 2 (Фото салон)</t>
  </si>
  <si>
    <t>пр. Металлургов, 50</t>
  </si>
  <si>
    <t>пр. Ермакова, 2А (ост. "ЗАГС")</t>
  </si>
  <si>
    <t>пр. Ермакова, 26 (ост. "проспект Ермакова")</t>
  </si>
  <si>
    <t>ул. Сеченова, 25 (Адм-ция Новокузнецкого района)</t>
  </si>
  <si>
    <t>пр. Курако, 20</t>
  </si>
  <si>
    <t>пр. Строителей, 64А</t>
  </si>
  <si>
    <t>ул. Юбилейная, 20А</t>
  </si>
  <si>
    <t>ул. Братьев Сизых,5А</t>
  </si>
  <si>
    <t xml:space="preserve">Внутриквартальный проезд ул.Кирова, 75-ул.Кирова, 97, ул.Франкфурта, 14-ул.Кирова, 91 </t>
  </si>
  <si>
    <t>Условия пользова-ния парковкой (платно/     бесплатно)</t>
  </si>
  <si>
    <t>Площадь парковки,                кв. м</t>
  </si>
  <si>
    <t>пр. Пионерский (площадь гор. мероприятий)</t>
  </si>
  <si>
    <t>пр. Пионерский (старый ЗАГС)</t>
  </si>
  <si>
    <t>УДКХиБ, г. Новокузнецк,                           ул. Спартака, 24,  тел. 920-232</t>
  </si>
  <si>
    <t xml:space="preserve">Наименова-ние муници-пального образова-ния  Кемеровской обл. – Кузбасса </t>
  </si>
  <si>
    <t>Автомобиль-ная дорога (км + м)                     (лево, право)</t>
  </si>
  <si>
    <r>
      <t xml:space="preserve">Назначение парковки         (для грузовых автомоби-лей </t>
    </r>
    <r>
      <rPr>
        <b/>
        <sz val="9"/>
        <color theme="1"/>
        <rFont val="Times New Roman"/>
        <family val="1"/>
        <charset val="204"/>
      </rPr>
      <t>(ГА)</t>
    </r>
    <r>
      <rPr>
        <sz val="9"/>
        <color theme="1"/>
        <rFont val="Times New Roman"/>
        <family val="1"/>
        <charset val="204"/>
      </rPr>
      <t>/                   автобусов</t>
    </r>
    <r>
      <rPr>
        <b/>
        <sz val="9"/>
        <color theme="1"/>
        <rFont val="Times New Roman"/>
        <family val="1"/>
        <charset val="204"/>
      </rPr>
      <t xml:space="preserve"> (А)</t>
    </r>
    <r>
      <rPr>
        <sz val="9"/>
        <color theme="1"/>
        <rFont val="Times New Roman"/>
        <family val="1"/>
        <charset val="204"/>
      </rPr>
      <t xml:space="preserve">/                        легковых автомоби-лей </t>
    </r>
    <r>
      <rPr>
        <b/>
        <sz val="9"/>
        <color theme="1"/>
        <rFont val="Times New Roman"/>
        <family val="1"/>
        <charset val="204"/>
      </rPr>
      <t>(ЛА)</t>
    </r>
    <r>
      <rPr>
        <sz val="9"/>
        <color theme="1"/>
        <rFont val="Times New Roman"/>
        <family val="1"/>
        <charset val="204"/>
      </rPr>
      <t>)</t>
    </r>
  </si>
  <si>
    <t>Категория и количество транспортных средств, которые могут размещаться на парковке/ количество мест для инвалидов</t>
  </si>
  <si>
    <t>Наименование юридического лица/Ф.И.О.             (при наличии) индивидуаль-ного предпринима-теля</t>
  </si>
  <si>
    <t>Место нахождения юридичес-кого лица/ индиви-дуального предприни-мателя</t>
  </si>
  <si>
    <t>Дата и номер решения       об исключении из реестра</t>
  </si>
  <si>
    <t xml:space="preserve">парковок общего пользования, расположенных на автомобильных дорогах общего пользования местного значения                                       Новокузнецкого городского округа </t>
  </si>
  <si>
    <t>пр. Октябрьский, 49</t>
  </si>
  <si>
    <t>ул. Тузовского, 14 (Адм-ция Орджн. р-на)</t>
  </si>
  <si>
    <t xml:space="preserve">ул. Тольятти, 27 </t>
  </si>
  <si>
    <t>ул. Тольятти, 27/А (ТЦ "Глобус")</t>
  </si>
  <si>
    <t>Понижение БК</t>
  </si>
  <si>
    <t>ДЗ</t>
  </si>
  <si>
    <t xml:space="preserve">Парковок общего пользования, расположенных на автомобильных дорогах общего пользования местного значения Новокузнецкого городского округа </t>
  </si>
  <si>
    <t>Автомобиль-ная дорога (км + м)                                    (лево, право)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</si>
</sst>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0" fontId="6" fillId="0" borderId="45" xfId="0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14" fontId="6" fillId="0" borderId="51" xfId="0" applyNumberFormat="1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2" fontId="6" fillId="0" borderId="51" xfId="0" applyNumberFormat="1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14" fontId="6" fillId="0" borderId="51" xfId="0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4" fontId="6" fillId="0" borderId="3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35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35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4" fontId="6" fillId="0" borderId="36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164" fontId="6" fillId="0" borderId="35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wrapText="1"/>
    </xf>
    <xf numFmtId="14" fontId="6" fillId="0" borderId="10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wrapText="1"/>
    </xf>
    <xf numFmtId="4" fontId="6" fillId="0" borderId="53" xfId="0" applyNumberFormat="1" applyFont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50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5" xfId="0" applyFont="1" applyFill="1" applyBorder="1" applyAlignment="1">
      <alignment horizontal="left" vertical="center" wrapText="1"/>
    </xf>
    <xf numFmtId="4" fontId="6" fillId="0" borderId="4" xfId="0" applyNumberFormat="1" applyFont="1" applyBorder="1" applyAlignment="1">
      <alignment wrapText="1"/>
    </xf>
    <xf numFmtId="164" fontId="6" fillId="0" borderId="51" xfId="0" applyNumberFormat="1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4" fontId="6" fillId="0" borderId="32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1" xfId="0" applyFont="1" applyFill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5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14" fontId="1" fillId="0" borderId="51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1" xfId="0" applyFont="1" applyBorder="1" applyAlignment="1">
      <alignment vertical="center" wrapText="1"/>
    </xf>
    <xf numFmtId="164" fontId="1" fillId="0" borderId="51" xfId="0" applyNumberFormat="1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2" fontId="6" fillId="0" borderId="5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4" fillId="0" borderId="0" xfId="0" applyFont="1"/>
    <xf numFmtId="0" fontId="0" fillId="0" borderId="44" xfId="0" applyBorder="1"/>
    <xf numFmtId="0" fontId="0" fillId="0" borderId="58" xfId="0" applyBorder="1"/>
    <xf numFmtId="0" fontId="0" fillId="0" borderId="59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9" fillId="0" borderId="55" xfId="0" applyFont="1" applyBorder="1" applyAlignment="1">
      <alignment horizontal="center" vertical="center" textRotation="90"/>
    </xf>
    <xf numFmtId="0" fontId="9" fillId="0" borderId="56" xfId="0" applyFont="1" applyBorder="1" applyAlignment="1">
      <alignment horizontal="center" vertical="center" textRotation="90"/>
    </xf>
    <xf numFmtId="0" fontId="9" fillId="0" borderId="57" xfId="0" applyFont="1" applyBorder="1" applyAlignment="1">
      <alignment horizontal="center" vertical="center" textRotation="90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32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wrapText="1"/>
    </xf>
    <xf numFmtId="49" fontId="6" fillId="0" borderId="39" xfId="0" applyNumberFormat="1" applyFont="1" applyBorder="1" applyAlignment="1">
      <alignment horizontal="center" wrapText="1"/>
    </xf>
    <xf numFmtId="49" fontId="6" fillId="0" borderId="4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6"/>
  <sheetViews>
    <sheetView workbookViewId="0">
      <selection sqref="A1:O29"/>
    </sheetView>
  </sheetViews>
  <sheetFormatPr defaultRowHeight="15" x14ac:dyDescent="0.25"/>
  <cols>
    <col min="1" max="1" width="3.42578125" style="6" customWidth="1"/>
    <col min="2" max="2" width="8.42578125" style="6" customWidth="1"/>
    <col min="3" max="3" width="10.28515625" style="6" hidden="1" customWidth="1"/>
    <col min="4" max="4" width="39.28515625" style="114" customWidth="1"/>
    <col min="5" max="5" width="10.140625" style="100" customWidth="1"/>
    <col min="6" max="6" width="9.42578125" style="6" customWidth="1"/>
    <col min="7" max="7" width="9.140625" style="6"/>
    <col min="8" max="8" width="7.5703125" style="6" customWidth="1"/>
    <col min="9" max="9" width="6" style="99" customWidth="1"/>
    <col min="10" max="10" width="11" style="6" hidden="1" customWidth="1"/>
    <col min="11" max="11" width="8" style="6" hidden="1" customWidth="1"/>
    <col min="12" max="12" width="9.42578125" style="6" hidden="1" customWidth="1"/>
    <col min="13" max="13" width="9.7109375" style="6" hidden="1" customWidth="1"/>
    <col min="14" max="14" width="1.42578125" customWidth="1"/>
  </cols>
  <sheetData>
    <row r="1" spans="1:24" ht="18.75" x14ac:dyDescent="0.25">
      <c r="A1" s="189" t="s">
        <v>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4" ht="44.25" customHeight="1" x14ac:dyDescent="0.25">
      <c r="A2" s="190" t="s">
        <v>493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24" ht="11.25" customHeight="1" thickBot="1" x14ac:dyDescent="0.35">
      <c r="A3" s="3"/>
      <c r="B3" s="2"/>
      <c r="C3" s="2"/>
      <c r="D3" s="101"/>
      <c r="E3" s="2"/>
      <c r="F3" s="2"/>
      <c r="G3" s="2"/>
      <c r="H3" s="2"/>
      <c r="I3" s="2"/>
      <c r="J3" s="4"/>
      <c r="K3" s="5"/>
      <c r="L3" s="4"/>
      <c r="M3" s="1"/>
    </row>
    <row r="4" spans="1:24" ht="12.75" customHeight="1" x14ac:dyDescent="0.25">
      <c r="A4" s="191" t="s">
        <v>4</v>
      </c>
      <c r="B4" s="192"/>
      <c r="C4" s="195" t="s">
        <v>0</v>
      </c>
      <c r="D4" s="195"/>
      <c r="E4" s="196" t="s">
        <v>474</v>
      </c>
      <c r="F4" s="196" t="s">
        <v>481</v>
      </c>
      <c r="G4" s="196" t="s">
        <v>475</v>
      </c>
      <c r="H4" s="191" t="s">
        <v>482</v>
      </c>
      <c r="I4" s="192"/>
      <c r="J4" s="199" t="s">
        <v>1</v>
      </c>
      <c r="K4" s="200"/>
      <c r="L4" s="201"/>
      <c r="M4" s="196" t="s">
        <v>485</v>
      </c>
      <c r="N4" s="178"/>
      <c r="O4" s="179" t="s">
        <v>491</v>
      </c>
      <c r="P4" s="179" t="s">
        <v>492</v>
      </c>
      <c r="Q4" s="133"/>
      <c r="R4" s="133"/>
      <c r="S4" s="133"/>
      <c r="T4" s="133"/>
      <c r="U4" s="133"/>
      <c r="V4" s="133"/>
      <c r="W4" s="133"/>
      <c r="X4" s="133"/>
    </row>
    <row r="5" spans="1:24" x14ac:dyDescent="0.25">
      <c r="A5" s="193"/>
      <c r="B5" s="188"/>
      <c r="C5" s="182" t="s">
        <v>479</v>
      </c>
      <c r="D5" s="184" t="s">
        <v>480</v>
      </c>
      <c r="E5" s="197"/>
      <c r="F5" s="197"/>
      <c r="G5" s="197"/>
      <c r="H5" s="193"/>
      <c r="I5" s="188"/>
      <c r="J5" s="182" t="s">
        <v>483</v>
      </c>
      <c r="K5" s="186" t="s">
        <v>2</v>
      </c>
      <c r="L5" s="188" t="s">
        <v>484</v>
      </c>
      <c r="M5" s="197"/>
      <c r="N5" s="178"/>
      <c r="O5" s="180"/>
      <c r="P5" s="180"/>
      <c r="Q5" s="133"/>
      <c r="R5" s="133"/>
      <c r="S5" s="133"/>
      <c r="T5" s="133"/>
      <c r="U5" s="133"/>
      <c r="V5" s="133"/>
      <c r="W5" s="133"/>
      <c r="X5" s="133"/>
    </row>
    <row r="6" spans="1:24" ht="103.5" customHeight="1" thickBot="1" x14ac:dyDescent="0.3">
      <c r="A6" s="194"/>
      <c r="B6" s="185"/>
      <c r="C6" s="183"/>
      <c r="D6" s="185"/>
      <c r="E6" s="198"/>
      <c r="F6" s="198"/>
      <c r="G6" s="198"/>
      <c r="H6" s="194"/>
      <c r="I6" s="185"/>
      <c r="J6" s="183"/>
      <c r="K6" s="187"/>
      <c r="L6" s="185"/>
      <c r="M6" s="198"/>
      <c r="N6" s="178"/>
      <c r="O6" s="181"/>
      <c r="P6" s="181"/>
      <c r="Q6" s="133"/>
      <c r="R6" s="133"/>
      <c r="S6" s="133"/>
      <c r="T6" s="133"/>
      <c r="U6" s="133"/>
      <c r="V6" s="133"/>
      <c r="W6" s="133"/>
      <c r="X6" s="133"/>
    </row>
    <row r="7" spans="1:24" ht="7.5" customHeight="1" thickBot="1" x14ac:dyDescent="0.3">
      <c r="A7" s="7"/>
      <c r="B7" s="127"/>
      <c r="C7" s="127"/>
      <c r="D7" s="102"/>
      <c r="E7" s="9"/>
      <c r="F7" s="9"/>
      <c r="G7" s="9"/>
      <c r="H7" s="126"/>
      <c r="I7" s="127"/>
      <c r="J7" s="126"/>
      <c r="K7" s="126"/>
      <c r="L7" s="127"/>
      <c r="M7" s="11"/>
    </row>
    <row r="8" spans="1:24" ht="13.5" customHeight="1" thickBot="1" x14ac:dyDescent="0.3">
      <c r="A8" s="151" t="s">
        <v>401</v>
      </c>
      <c r="B8" s="152"/>
      <c r="C8" s="152"/>
      <c r="D8" s="152"/>
      <c r="E8" s="152"/>
      <c r="F8" s="152"/>
      <c r="G8" s="12"/>
      <c r="H8" s="12"/>
      <c r="I8" s="12"/>
      <c r="J8" s="12"/>
      <c r="K8" s="12"/>
      <c r="L8" s="12"/>
      <c r="M8" s="13"/>
      <c r="O8" s="137"/>
      <c r="P8" s="134"/>
    </row>
    <row r="9" spans="1:24" ht="13.5" customHeight="1" x14ac:dyDescent="0.25">
      <c r="A9" s="14">
        <v>1</v>
      </c>
      <c r="B9" s="15">
        <v>45699</v>
      </c>
      <c r="C9" s="16" t="s">
        <v>5</v>
      </c>
      <c r="D9" s="45" t="s">
        <v>151</v>
      </c>
      <c r="E9" s="16" t="s">
        <v>6</v>
      </c>
      <c r="F9" s="16" t="s">
        <v>7</v>
      </c>
      <c r="G9" s="16">
        <f>(4*7.5*2.5)+(1*7.5*2.5)+(2*7.5*2.5)</f>
        <v>131.25</v>
      </c>
      <c r="H9" s="16">
        <f>4+1+2</f>
        <v>7</v>
      </c>
      <c r="I9" s="16">
        <v>1</v>
      </c>
      <c r="J9" s="145" t="s">
        <v>478</v>
      </c>
      <c r="K9" s="146"/>
      <c r="L9" s="147"/>
      <c r="M9" s="17"/>
      <c r="O9" s="138"/>
      <c r="P9" s="135"/>
    </row>
    <row r="10" spans="1:24" ht="13.5" customHeight="1" x14ac:dyDescent="0.25">
      <c r="A10" s="18">
        <v>2</v>
      </c>
      <c r="B10" s="19">
        <v>45699</v>
      </c>
      <c r="C10" s="128" t="s">
        <v>5</v>
      </c>
      <c r="D10" s="46" t="s">
        <v>155</v>
      </c>
      <c r="E10" s="128" t="s">
        <v>6</v>
      </c>
      <c r="F10" s="128" t="s">
        <v>7</v>
      </c>
      <c r="G10" s="128">
        <f>(8*7.5*2.5)+(1*7.5*2.5)</f>
        <v>168.75</v>
      </c>
      <c r="H10" s="128">
        <f>8+1</f>
        <v>9</v>
      </c>
      <c r="I10" s="128">
        <v>1</v>
      </c>
      <c r="J10" s="148"/>
      <c r="K10" s="149"/>
      <c r="L10" s="150"/>
      <c r="M10" s="21"/>
      <c r="O10" s="138"/>
      <c r="P10" s="135"/>
    </row>
    <row r="11" spans="1:24" ht="13.5" customHeight="1" x14ac:dyDescent="0.25">
      <c r="A11" s="22">
        <v>3</v>
      </c>
      <c r="B11" s="23">
        <v>45699</v>
      </c>
      <c r="C11" s="24" t="s">
        <v>5</v>
      </c>
      <c r="D11" s="103" t="s">
        <v>153</v>
      </c>
      <c r="E11" s="24" t="s">
        <v>6</v>
      </c>
      <c r="F11" s="24" t="s">
        <v>7</v>
      </c>
      <c r="G11" s="24">
        <f>(7*2.5*5)+(1*3.6*6)+(7*2.5*5)+(1*3.6*6)</f>
        <v>218.2</v>
      </c>
      <c r="H11" s="24">
        <f>7+1+7+1</f>
        <v>16</v>
      </c>
      <c r="I11" s="24">
        <v>2</v>
      </c>
      <c r="J11" s="148"/>
      <c r="K11" s="149"/>
      <c r="L11" s="150"/>
      <c r="M11" s="25"/>
      <c r="O11" s="138"/>
      <c r="P11" s="135"/>
    </row>
    <row r="12" spans="1:24" ht="13.5" customHeight="1" thickBot="1" x14ac:dyDescent="0.3">
      <c r="A12" s="26">
        <v>4</v>
      </c>
      <c r="B12" s="27">
        <v>45699</v>
      </c>
      <c r="C12" s="28" t="s">
        <v>5</v>
      </c>
      <c r="D12" s="104" t="s">
        <v>154</v>
      </c>
      <c r="E12" s="28" t="s">
        <v>6</v>
      </c>
      <c r="F12" s="28" t="s">
        <v>7</v>
      </c>
      <c r="G12" s="29">
        <f>(4*3.2811*3.74)+(1*4*3.74)</f>
        <v>64.045255999999995</v>
      </c>
      <c r="H12" s="28">
        <f>4+1</f>
        <v>5</v>
      </c>
      <c r="I12" s="28">
        <v>1</v>
      </c>
      <c r="J12" s="148"/>
      <c r="K12" s="149"/>
      <c r="L12" s="150"/>
      <c r="M12" s="30"/>
      <c r="O12" s="138"/>
      <c r="P12" s="135"/>
    </row>
    <row r="13" spans="1:24" ht="13.5" customHeight="1" thickBot="1" x14ac:dyDescent="0.3">
      <c r="A13" s="151" t="s">
        <v>402</v>
      </c>
      <c r="B13" s="152"/>
      <c r="C13" s="152"/>
      <c r="D13" s="152"/>
      <c r="E13" s="152"/>
      <c r="F13" s="152"/>
      <c r="G13" s="12"/>
      <c r="H13" s="12"/>
      <c r="I13" s="12"/>
      <c r="J13" s="12"/>
      <c r="K13" s="12"/>
      <c r="L13" s="12"/>
      <c r="M13" s="13"/>
      <c r="O13" s="138"/>
      <c r="P13" s="135"/>
    </row>
    <row r="14" spans="1:24" ht="13.5" customHeight="1" x14ac:dyDescent="0.25">
      <c r="A14" s="14">
        <v>5</v>
      </c>
      <c r="B14" s="15">
        <v>45700</v>
      </c>
      <c r="C14" s="16" t="s">
        <v>5</v>
      </c>
      <c r="D14" s="45" t="s">
        <v>160</v>
      </c>
      <c r="E14" s="16" t="s">
        <v>6</v>
      </c>
      <c r="F14" s="16" t="s">
        <v>7</v>
      </c>
      <c r="G14" s="16">
        <f>((52+97)/2)*3</f>
        <v>223.5</v>
      </c>
      <c r="H14" s="16">
        <f>7+1</f>
        <v>8</v>
      </c>
      <c r="I14" s="16">
        <v>1</v>
      </c>
      <c r="J14" s="145" t="s">
        <v>439</v>
      </c>
      <c r="K14" s="146"/>
      <c r="L14" s="147"/>
      <c r="M14" s="17"/>
      <c r="O14" s="138"/>
      <c r="P14" s="135"/>
    </row>
    <row r="15" spans="1:24" ht="13.5" customHeight="1" x14ac:dyDescent="0.25">
      <c r="A15" s="18">
        <v>6</v>
      </c>
      <c r="B15" s="19">
        <v>45700</v>
      </c>
      <c r="C15" s="128" t="s">
        <v>5</v>
      </c>
      <c r="D15" s="46" t="s">
        <v>161</v>
      </c>
      <c r="E15" s="128" t="s">
        <v>6</v>
      </c>
      <c r="F15" s="128" t="s">
        <v>7</v>
      </c>
      <c r="G15" s="129">
        <f>((50+91)/2)*3</f>
        <v>211.5</v>
      </c>
      <c r="H15" s="128">
        <f>6+1</f>
        <v>7</v>
      </c>
      <c r="I15" s="128">
        <v>1</v>
      </c>
      <c r="J15" s="148"/>
      <c r="K15" s="149"/>
      <c r="L15" s="150"/>
      <c r="M15" s="21"/>
      <c r="O15" s="138"/>
      <c r="P15" s="135"/>
    </row>
    <row r="16" spans="1:24" ht="13.5" customHeight="1" x14ac:dyDescent="0.25">
      <c r="A16" s="18">
        <v>7</v>
      </c>
      <c r="B16" s="19">
        <v>45700</v>
      </c>
      <c r="C16" s="128" t="s">
        <v>5</v>
      </c>
      <c r="D16" s="46" t="s">
        <v>162</v>
      </c>
      <c r="E16" s="128" t="s">
        <v>6</v>
      </c>
      <c r="F16" s="128" t="s">
        <v>7</v>
      </c>
      <c r="G16" s="128">
        <f>(11*2.5*6)+(2*3.6*6)</f>
        <v>208.2</v>
      </c>
      <c r="H16" s="128">
        <f>11+2</f>
        <v>13</v>
      </c>
      <c r="I16" s="128">
        <v>2</v>
      </c>
      <c r="J16" s="148"/>
      <c r="K16" s="149"/>
      <c r="L16" s="150"/>
      <c r="M16" s="21"/>
      <c r="O16" s="138"/>
      <c r="P16" s="135"/>
    </row>
    <row r="17" spans="1:16" ht="13.5" customHeight="1" x14ac:dyDescent="0.25">
      <c r="A17" s="18">
        <v>8</v>
      </c>
      <c r="B17" s="19">
        <v>45700</v>
      </c>
      <c r="C17" s="128" t="s">
        <v>5</v>
      </c>
      <c r="D17" s="46" t="s">
        <v>163</v>
      </c>
      <c r="E17" s="128" t="s">
        <v>6</v>
      </c>
      <c r="F17" s="128" t="s">
        <v>7</v>
      </c>
      <c r="G17" s="128">
        <f>(12*2.5*5)+(2*3.6*6)+(7*2.5*(5+2.5))+(1*3.6*(6+1.5))+(1*2.5*(5+2.5))+(1*3.6*(6+1.5))</f>
        <v>397.2</v>
      </c>
      <c r="H17" s="128">
        <f>12+2+7+1+1+1</f>
        <v>24</v>
      </c>
      <c r="I17" s="128">
        <f>2+1+1</f>
        <v>4</v>
      </c>
      <c r="J17" s="148"/>
      <c r="K17" s="149"/>
      <c r="L17" s="150"/>
      <c r="M17" s="21"/>
      <c r="O17" s="138"/>
      <c r="P17" s="135"/>
    </row>
    <row r="18" spans="1:16" ht="13.5" customHeight="1" x14ac:dyDescent="0.25">
      <c r="A18" s="18">
        <v>9</v>
      </c>
      <c r="B18" s="19">
        <v>45700</v>
      </c>
      <c r="C18" s="128" t="s">
        <v>5</v>
      </c>
      <c r="D18" s="46" t="s">
        <v>456</v>
      </c>
      <c r="E18" s="128" t="s">
        <v>6</v>
      </c>
      <c r="F18" s="128" t="s">
        <v>7</v>
      </c>
      <c r="G18" s="128">
        <f>22*8.22</f>
        <v>180.84</v>
      </c>
      <c r="H18" s="128">
        <f>6+1</f>
        <v>7</v>
      </c>
      <c r="I18" s="128">
        <v>1</v>
      </c>
      <c r="J18" s="148"/>
      <c r="K18" s="149"/>
      <c r="L18" s="150"/>
      <c r="M18" s="21"/>
      <c r="O18" s="138"/>
      <c r="P18" s="135"/>
    </row>
    <row r="19" spans="1:16" ht="13.5" customHeight="1" x14ac:dyDescent="0.25">
      <c r="A19" s="18">
        <v>10</v>
      </c>
      <c r="B19" s="19">
        <v>45700</v>
      </c>
      <c r="C19" s="128" t="s">
        <v>5</v>
      </c>
      <c r="D19" s="46" t="s">
        <v>164</v>
      </c>
      <c r="E19" s="128" t="s">
        <v>6</v>
      </c>
      <c r="F19" s="128" t="s">
        <v>7</v>
      </c>
      <c r="G19" s="128">
        <f>13.5*5.5</f>
        <v>74.25</v>
      </c>
      <c r="H19" s="128">
        <f>3+1</f>
        <v>4</v>
      </c>
      <c r="I19" s="128">
        <v>1</v>
      </c>
      <c r="J19" s="148"/>
      <c r="K19" s="149"/>
      <c r="L19" s="150"/>
      <c r="M19" s="21"/>
      <c r="O19" s="138"/>
      <c r="P19" s="135"/>
    </row>
    <row r="20" spans="1:16" ht="13.5" customHeight="1" x14ac:dyDescent="0.25">
      <c r="A20" s="18">
        <v>11</v>
      </c>
      <c r="B20" s="19">
        <v>45700</v>
      </c>
      <c r="C20" s="128" t="s">
        <v>5</v>
      </c>
      <c r="D20" s="46" t="s">
        <v>165</v>
      </c>
      <c r="E20" s="128" t="s">
        <v>6</v>
      </c>
      <c r="F20" s="128" t="s">
        <v>7</v>
      </c>
      <c r="G20" s="128">
        <f>19*2.66</f>
        <v>50.540000000000006</v>
      </c>
      <c r="H20" s="128">
        <f>1+1</f>
        <v>2</v>
      </c>
      <c r="I20" s="128">
        <v>1</v>
      </c>
      <c r="J20" s="148"/>
      <c r="K20" s="149"/>
      <c r="L20" s="150"/>
      <c r="M20" s="21"/>
      <c r="O20" s="138"/>
      <c r="P20" s="135"/>
    </row>
    <row r="21" spans="1:16" ht="13.5" customHeight="1" thickBot="1" x14ac:dyDescent="0.3">
      <c r="A21" s="18">
        <v>12</v>
      </c>
      <c r="B21" s="19">
        <v>45700</v>
      </c>
      <c r="C21" s="128" t="s">
        <v>5</v>
      </c>
      <c r="D21" s="46" t="s">
        <v>166</v>
      </c>
      <c r="E21" s="128" t="s">
        <v>6</v>
      </c>
      <c r="F21" s="128" t="s">
        <v>7</v>
      </c>
      <c r="G21" s="128">
        <f>15.5*2.6</f>
        <v>40.300000000000004</v>
      </c>
      <c r="H21" s="128">
        <f>1+1</f>
        <v>2</v>
      </c>
      <c r="I21" s="128">
        <v>1</v>
      </c>
      <c r="J21" s="148"/>
      <c r="K21" s="149"/>
      <c r="L21" s="150"/>
      <c r="M21" s="21"/>
      <c r="O21" s="138"/>
      <c r="P21" s="135"/>
    </row>
    <row r="22" spans="1:16" ht="13.5" customHeight="1" thickBot="1" x14ac:dyDescent="0.3">
      <c r="A22" s="151" t="s">
        <v>403</v>
      </c>
      <c r="B22" s="152"/>
      <c r="C22" s="152"/>
      <c r="D22" s="152"/>
      <c r="E22" s="152"/>
      <c r="F22" s="152"/>
      <c r="G22" s="12"/>
      <c r="H22" s="12"/>
      <c r="I22" s="12"/>
      <c r="J22" s="12"/>
      <c r="K22" s="12"/>
      <c r="L22" s="12"/>
      <c r="M22" s="13"/>
      <c r="O22" s="138"/>
      <c r="P22" s="135"/>
    </row>
    <row r="23" spans="1:16" ht="21.75" customHeight="1" thickBot="1" x14ac:dyDescent="0.3">
      <c r="A23" s="14">
        <v>13</v>
      </c>
      <c r="B23" s="15">
        <v>45700</v>
      </c>
      <c r="C23" s="16" t="s">
        <v>5</v>
      </c>
      <c r="D23" s="45" t="s">
        <v>95</v>
      </c>
      <c r="E23" s="16" t="s">
        <v>6</v>
      </c>
      <c r="F23" s="16" t="s">
        <v>7</v>
      </c>
      <c r="G23" s="16">
        <f>23.5*3.5</f>
        <v>82.25</v>
      </c>
      <c r="H23" s="16">
        <v>3</v>
      </c>
      <c r="I23" s="16">
        <v>0</v>
      </c>
      <c r="J23" s="145" t="s">
        <v>439</v>
      </c>
      <c r="K23" s="146"/>
      <c r="L23" s="147"/>
      <c r="M23" s="17"/>
      <c r="O23" s="138"/>
      <c r="P23" s="135"/>
    </row>
    <row r="24" spans="1:16" ht="13.5" customHeight="1" thickBot="1" x14ac:dyDescent="0.3">
      <c r="A24" s="151" t="s">
        <v>404</v>
      </c>
      <c r="B24" s="152"/>
      <c r="C24" s="152"/>
      <c r="D24" s="152"/>
      <c r="E24" s="152"/>
      <c r="F24" s="152"/>
      <c r="G24" s="12"/>
      <c r="H24" s="12"/>
      <c r="I24" s="12"/>
      <c r="J24" s="12"/>
      <c r="K24" s="12"/>
      <c r="L24" s="12"/>
      <c r="M24" s="13"/>
      <c r="O24" s="138"/>
      <c r="P24" s="135"/>
    </row>
    <row r="25" spans="1:16" ht="13.5" customHeight="1" x14ac:dyDescent="0.25">
      <c r="A25" s="14">
        <v>14</v>
      </c>
      <c r="B25" s="15">
        <v>45700</v>
      </c>
      <c r="C25" s="16" t="s">
        <v>5</v>
      </c>
      <c r="D25" s="45" t="s">
        <v>96</v>
      </c>
      <c r="E25" s="16" t="s">
        <v>6</v>
      </c>
      <c r="F25" s="16" t="s">
        <v>7</v>
      </c>
      <c r="G25" s="16">
        <f>(16*72)+(4.5*43)+(4.5*46)</f>
        <v>1552.5</v>
      </c>
      <c r="H25" s="16">
        <f>19+2</f>
        <v>21</v>
      </c>
      <c r="I25" s="16">
        <v>2</v>
      </c>
      <c r="J25" s="145" t="s">
        <v>439</v>
      </c>
      <c r="K25" s="146"/>
      <c r="L25" s="147"/>
      <c r="M25" s="17"/>
      <c r="O25" s="138"/>
      <c r="P25" s="135"/>
    </row>
    <row r="26" spans="1:16" ht="13.5" customHeight="1" x14ac:dyDescent="0.25">
      <c r="A26" s="18">
        <v>15</v>
      </c>
      <c r="B26" s="19">
        <v>45700</v>
      </c>
      <c r="C26" s="128" t="s">
        <v>5</v>
      </c>
      <c r="D26" s="46" t="s">
        <v>97</v>
      </c>
      <c r="E26" s="128" t="s">
        <v>6</v>
      </c>
      <c r="F26" s="128" t="s">
        <v>7</v>
      </c>
      <c r="G26" s="129">
        <f>25*3.5</f>
        <v>87.5</v>
      </c>
      <c r="H26" s="128">
        <f>2+1</f>
        <v>3</v>
      </c>
      <c r="I26" s="128">
        <v>1</v>
      </c>
      <c r="J26" s="148"/>
      <c r="K26" s="149"/>
      <c r="L26" s="150"/>
      <c r="M26" s="21"/>
      <c r="O26" s="138"/>
      <c r="P26" s="135"/>
    </row>
    <row r="27" spans="1:16" ht="13.5" customHeight="1" x14ac:dyDescent="0.25">
      <c r="A27" s="18">
        <v>16</v>
      </c>
      <c r="B27" s="19">
        <v>45700</v>
      </c>
      <c r="C27" s="128" t="s">
        <v>5</v>
      </c>
      <c r="D27" s="46" t="s">
        <v>98</v>
      </c>
      <c r="E27" s="128" t="s">
        <v>6</v>
      </c>
      <c r="F27" s="128" t="s">
        <v>7</v>
      </c>
      <c r="G27" s="128">
        <f>(6*2.5*5.1)+(1*3.6*5.1)</f>
        <v>94.86</v>
      </c>
      <c r="H27" s="128">
        <f>6+1</f>
        <v>7</v>
      </c>
      <c r="I27" s="128">
        <v>1</v>
      </c>
      <c r="J27" s="148"/>
      <c r="K27" s="149"/>
      <c r="L27" s="150"/>
      <c r="M27" s="21"/>
      <c r="O27" s="138"/>
      <c r="P27" s="135"/>
    </row>
    <row r="28" spans="1:16" ht="13.5" customHeight="1" x14ac:dyDescent="0.25">
      <c r="A28" s="18">
        <v>17</v>
      </c>
      <c r="B28" s="19">
        <v>45700</v>
      </c>
      <c r="C28" s="128" t="s">
        <v>5</v>
      </c>
      <c r="D28" s="46" t="s">
        <v>99</v>
      </c>
      <c r="E28" s="128" t="s">
        <v>6</v>
      </c>
      <c r="F28" s="128" t="s">
        <v>7</v>
      </c>
      <c r="G28" s="128">
        <f>(7*2.5*5)+(1*3.5*5)</f>
        <v>105</v>
      </c>
      <c r="H28" s="128">
        <f>7+1</f>
        <v>8</v>
      </c>
      <c r="I28" s="128">
        <v>1</v>
      </c>
      <c r="J28" s="148"/>
      <c r="K28" s="149"/>
      <c r="L28" s="150"/>
      <c r="M28" s="21"/>
      <c r="O28" s="138"/>
      <c r="P28" s="135"/>
    </row>
    <row r="29" spans="1:16" ht="13.5" customHeight="1" thickBot="1" x14ac:dyDescent="0.3">
      <c r="A29" s="32">
        <v>18</v>
      </c>
      <c r="B29" s="33">
        <v>45700</v>
      </c>
      <c r="C29" s="34" t="s">
        <v>5</v>
      </c>
      <c r="D29" s="105" t="s">
        <v>100</v>
      </c>
      <c r="E29" s="34" t="s">
        <v>6</v>
      </c>
      <c r="F29" s="34" t="s">
        <v>7</v>
      </c>
      <c r="G29" s="34">
        <f>(13.5*3)+(12*3)</f>
        <v>76.5</v>
      </c>
      <c r="H29" s="34">
        <f>1+1</f>
        <v>2</v>
      </c>
      <c r="I29" s="34">
        <v>1</v>
      </c>
      <c r="J29" s="148"/>
      <c r="K29" s="149"/>
      <c r="L29" s="150"/>
      <c r="M29" s="35"/>
      <c r="O29" s="138"/>
      <c r="P29" s="135"/>
    </row>
    <row r="30" spans="1:16" ht="13.5" customHeight="1" thickBot="1" x14ac:dyDescent="0.3">
      <c r="A30" s="151" t="s">
        <v>148</v>
      </c>
      <c r="B30" s="152"/>
      <c r="C30" s="152"/>
      <c r="D30" s="152"/>
      <c r="E30" s="152"/>
      <c r="F30" s="152"/>
      <c r="G30" s="12"/>
      <c r="H30" s="12"/>
      <c r="I30" s="12"/>
      <c r="J30" s="12"/>
      <c r="K30" s="12"/>
      <c r="L30" s="12"/>
      <c r="M30" s="13"/>
      <c r="O30" s="138"/>
      <c r="P30" s="135"/>
    </row>
    <row r="31" spans="1:16" ht="13.5" customHeight="1" x14ac:dyDescent="0.25">
      <c r="A31" s="14">
        <v>19</v>
      </c>
      <c r="B31" s="15">
        <v>45701</v>
      </c>
      <c r="C31" s="16" t="s">
        <v>5</v>
      </c>
      <c r="D31" s="45" t="s">
        <v>149</v>
      </c>
      <c r="E31" s="16" t="s">
        <v>6</v>
      </c>
      <c r="F31" s="16" t="s">
        <v>7</v>
      </c>
      <c r="G31" s="16">
        <f>(20*2.5*5)+(2*3.6*6)</f>
        <v>293.2</v>
      </c>
      <c r="H31" s="16">
        <f>20+2</f>
        <v>22</v>
      </c>
      <c r="I31" s="16">
        <v>2</v>
      </c>
      <c r="J31" s="145" t="s">
        <v>443</v>
      </c>
      <c r="K31" s="146"/>
      <c r="L31" s="147"/>
      <c r="M31" s="17"/>
      <c r="O31" s="138"/>
      <c r="P31" s="135"/>
    </row>
    <row r="32" spans="1:16" ht="13.5" customHeight="1" thickBot="1" x14ac:dyDescent="0.3">
      <c r="A32" s="18">
        <v>20</v>
      </c>
      <c r="B32" s="19">
        <v>45701</v>
      </c>
      <c r="C32" s="128" t="s">
        <v>5</v>
      </c>
      <c r="D32" s="46" t="s">
        <v>150</v>
      </c>
      <c r="E32" s="128" t="s">
        <v>6</v>
      </c>
      <c r="F32" s="128" t="s">
        <v>7</v>
      </c>
      <c r="G32" s="129">
        <f>(20*2.5*5)+(2*3.6*6)</f>
        <v>293.2</v>
      </c>
      <c r="H32" s="128">
        <f>20+2</f>
        <v>22</v>
      </c>
      <c r="I32" s="128">
        <v>2</v>
      </c>
      <c r="J32" s="148"/>
      <c r="K32" s="149"/>
      <c r="L32" s="150"/>
      <c r="M32" s="21"/>
      <c r="O32" s="138"/>
      <c r="P32" s="135"/>
    </row>
    <row r="33" spans="1:16" ht="13.5" customHeight="1" thickBot="1" x14ac:dyDescent="0.3">
      <c r="A33" s="151" t="s">
        <v>405</v>
      </c>
      <c r="B33" s="152"/>
      <c r="C33" s="152"/>
      <c r="D33" s="152"/>
      <c r="E33" s="152"/>
      <c r="F33" s="152"/>
      <c r="G33" s="12"/>
      <c r="H33" s="12"/>
      <c r="I33" s="12"/>
      <c r="J33" s="12"/>
      <c r="K33" s="12"/>
      <c r="L33" s="12"/>
      <c r="M33" s="13"/>
      <c r="O33" s="138"/>
      <c r="P33" s="135"/>
    </row>
    <row r="34" spans="1:16" ht="13.5" customHeight="1" x14ac:dyDescent="0.25">
      <c r="A34" s="14">
        <v>21</v>
      </c>
      <c r="B34" s="15">
        <v>45701</v>
      </c>
      <c r="C34" s="16" t="s">
        <v>5</v>
      </c>
      <c r="D34" s="45" t="s">
        <v>58</v>
      </c>
      <c r="E34" s="16" t="s">
        <v>6</v>
      </c>
      <c r="F34" s="16" t="s">
        <v>7</v>
      </c>
      <c r="G34" s="16">
        <f>8*35</f>
        <v>280</v>
      </c>
      <c r="H34" s="16">
        <f>9+1</f>
        <v>10</v>
      </c>
      <c r="I34" s="16">
        <v>1</v>
      </c>
      <c r="J34" s="145" t="s">
        <v>443</v>
      </c>
      <c r="K34" s="146"/>
      <c r="L34" s="147"/>
      <c r="M34" s="17"/>
      <c r="O34" s="138"/>
      <c r="P34" s="135"/>
    </row>
    <row r="35" spans="1:16" ht="13.5" customHeight="1" x14ac:dyDescent="0.25">
      <c r="A35" s="18">
        <v>22</v>
      </c>
      <c r="B35" s="19">
        <v>45701</v>
      </c>
      <c r="C35" s="128" t="s">
        <v>5</v>
      </c>
      <c r="D35" s="46" t="s">
        <v>59</v>
      </c>
      <c r="E35" s="128" t="s">
        <v>6</v>
      </c>
      <c r="F35" s="128" t="s">
        <v>7</v>
      </c>
      <c r="G35" s="129">
        <f>11*((22+23+24+29+36)/5)</f>
        <v>294.8</v>
      </c>
      <c r="H35" s="128">
        <f>6+1</f>
        <v>7</v>
      </c>
      <c r="I35" s="128">
        <v>1</v>
      </c>
      <c r="J35" s="148"/>
      <c r="K35" s="149"/>
      <c r="L35" s="150"/>
      <c r="M35" s="21"/>
      <c r="O35" s="138"/>
      <c r="P35" s="135"/>
    </row>
    <row r="36" spans="1:16" ht="13.5" customHeight="1" x14ac:dyDescent="0.25">
      <c r="A36" s="18">
        <v>23</v>
      </c>
      <c r="B36" s="19">
        <v>45701</v>
      </c>
      <c r="C36" s="128" t="s">
        <v>5</v>
      </c>
      <c r="D36" s="46" t="s">
        <v>61</v>
      </c>
      <c r="E36" s="128" t="s">
        <v>6</v>
      </c>
      <c r="F36" s="128" t="s">
        <v>7</v>
      </c>
      <c r="G36" s="128">
        <f>25*5</f>
        <v>125</v>
      </c>
      <c r="H36" s="128">
        <f>5+1</f>
        <v>6</v>
      </c>
      <c r="I36" s="128">
        <v>1</v>
      </c>
      <c r="J36" s="148"/>
      <c r="K36" s="149"/>
      <c r="L36" s="150"/>
      <c r="M36" s="21"/>
      <c r="O36" s="138"/>
      <c r="P36" s="135"/>
    </row>
    <row r="37" spans="1:16" ht="13.5" customHeight="1" x14ac:dyDescent="0.25">
      <c r="A37" s="18">
        <v>24</v>
      </c>
      <c r="B37" s="19">
        <v>45701</v>
      </c>
      <c r="C37" s="128" t="s">
        <v>5</v>
      </c>
      <c r="D37" s="46" t="s">
        <v>62</v>
      </c>
      <c r="E37" s="128" t="s">
        <v>6</v>
      </c>
      <c r="F37" s="128" t="s">
        <v>7</v>
      </c>
      <c r="G37" s="128">
        <f>((150+158)/2)*8.5</f>
        <v>1309</v>
      </c>
      <c r="H37" s="128">
        <f>44+6</f>
        <v>50</v>
      </c>
      <c r="I37" s="128">
        <v>6</v>
      </c>
      <c r="J37" s="148"/>
      <c r="K37" s="149"/>
      <c r="L37" s="150"/>
      <c r="M37" s="21"/>
      <c r="O37" s="138"/>
      <c r="P37" s="135"/>
    </row>
    <row r="38" spans="1:16" ht="13.5" customHeight="1" x14ac:dyDescent="0.25">
      <c r="A38" s="18">
        <v>25</v>
      </c>
      <c r="B38" s="19">
        <v>45701</v>
      </c>
      <c r="C38" s="128" t="s">
        <v>5</v>
      </c>
      <c r="D38" s="46" t="s">
        <v>63</v>
      </c>
      <c r="E38" s="128" t="s">
        <v>6</v>
      </c>
      <c r="F38" s="128" t="s">
        <v>7</v>
      </c>
      <c r="G38" s="128">
        <f>6*40.5</f>
        <v>243</v>
      </c>
      <c r="H38" s="128">
        <f>11+2</f>
        <v>13</v>
      </c>
      <c r="I38" s="128">
        <v>2</v>
      </c>
      <c r="J38" s="148"/>
      <c r="K38" s="149"/>
      <c r="L38" s="150"/>
      <c r="M38" s="21"/>
      <c r="O38" s="138"/>
      <c r="P38" s="135"/>
    </row>
    <row r="39" spans="1:16" ht="13.5" customHeight="1" x14ac:dyDescent="0.25">
      <c r="A39" s="18">
        <v>26</v>
      </c>
      <c r="B39" s="19">
        <v>45701</v>
      </c>
      <c r="C39" s="128" t="s">
        <v>5</v>
      </c>
      <c r="D39" s="46" t="s">
        <v>64</v>
      </c>
      <c r="E39" s="128" t="s">
        <v>6</v>
      </c>
      <c r="F39" s="128" t="s">
        <v>7</v>
      </c>
      <c r="G39" s="128">
        <f>6.5*73</f>
        <v>474.5</v>
      </c>
      <c r="H39" s="128">
        <f>9+1</f>
        <v>10</v>
      </c>
      <c r="I39" s="128">
        <v>1</v>
      </c>
      <c r="J39" s="148"/>
      <c r="K39" s="149"/>
      <c r="L39" s="150"/>
      <c r="M39" s="21"/>
      <c r="O39" s="138"/>
      <c r="P39" s="135"/>
    </row>
    <row r="40" spans="1:16" ht="13.5" customHeight="1" x14ac:dyDescent="0.25">
      <c r="A40" s="18">
        <v>27</v>
      </c>
      <c r="B40" s="19">
        <v>45701</v>
      </c>
      <c r="C40" s="128" t="s">
        <v>5</v>
      </c>
      <c r="D40" s="46" t="s">
        <v>65</v>
      </c>
      <c r="E40" s="128" t="s">
        <v>6</v>
      </c>
      <c r="F40" s="128" t="s">
        <v>7</v>
      </c>
      <c r="G40" s="128">
        <f>7*65</f>
        <v>455</v>
      </c>
      <c r="H40" s="128">
        <f>18+2</f>
        <v>20</v>
      </c>
      <c r="I40" s="128">
        <v>2</v>
      </c>
      <c r="J40" s="148"/>
      <c r="K40" s="149"/>
      <c r="L40" s="150"/>
      <c r="M40" s="21"/>
      <c r="O40" s="138"/>
      <c r="P40" s="135"/>
    </row>
    <row r="41" spans="1:16" ht="13.5" customHeight="1" x14ac:dyDescent="0.25">
      <c r="A41" s="18">
        <v>28</v>
      </c>
      <c r="B41" s="19">
        <v>45701</v>
      </c>
      <c r="C41" s="128" t="s">
        <v>5</v>
      </c>
      <c r="D41" s="46" t="s">
        <v>441</v>
      </c>
      <c r="E41" s="128" t="s">
        <v>6</v>
      </c>
      <c r="F41" s="128" t="s">
        <v>7</v>
      </c>
      <c r="G41" s="128">
        <f>262*7</f>
        <v>1834</v>
      </c>
      <c r="H41" s="128">
        <f>24+3+18+3+4+22+2</f>
        <v>76</v>
      </c>
      <c r="I41" s="128">
        <v>8</v>
      </c>
      <c r="J41" s="148"/>
      <c r="K41" s="149"/>
      <c r="L41" s="150"/>
      <c r="M41" s="21"/>
      <c r="O41" s="138"/>
      <c r="P41" s="135"/>
    </row>
    <row r="42" spans="1:16" ht="13.5" customHeight="1" x14ac:dyDescent="0.25">
      <c r="A42" s="18">
        <v>29</v>
      </c>
      <c r="B42" s="19">
        <v>45701</v>
      </c>
      <c r="C42" s="128" t="s">
        <v>5</v>
      </c>
      <c r="D42" s="46" t="s">
        <v>442</v>
      </c>
      <c r="E42" s="128" t="s">
        <v>6</v>
      </c>
      <c r="F42" s="128" t="s">
        <v>7</v>
      </c>
      <c r="G42" s="128">
        <f>132*7.4</f>
        <v>976.80000000000007</v>
      </c>
      <c r="H42" s="128">
        <f>32+4</f>
        <v>36</v>
      </c>
      <c r="I42" s="128">
        <v>4</v>
      </c>
      <c r="J42" s="148"/>
      <c r="K42" s="149"/>
      <c r="L42" s="150"/>
      <c r="M42" s="21"/>
      <c r="O42" s="138"/>
      <c r="P42" s="135"/>
    </row>
    <row r="43" spans="1:16" ht="13.5" customHeight="1" x14ac:dyDescent="0.25">
      <c r="A43" s="18">
        <v>30</v>
      </c>
      <c r="B43" s="19">
        <v>45701</v>
      </c>
      <c r="C43" s="128" t="s">
        <v>5</v>
      </c>
      <c r="D43" s="46" t="s">
        <v>117</v>
      </c>
      <c r="E43" s="128" t="s">
        <v>6</v>
      </c>
      <c r="F43" s="128" t="s">
        <v>7</v>
      </c>
      <c r="G43" s="128">
        <f>95*5.1</f>
        <v>484.49999999999994</v>
      </c>
      <c r="H43" s="128">
        <f>22+3</f>
        <v>25</v>
      </c>
      <c r="I43" s="128">
        <v>3</v>
      </c>
      <c r="J43" s="148"/>
      <c r="K43" s="149"/>
      <c r="L43" s="150"/>
      <c r="M43" s="21"/>
      <c r="O43" s="138"/>
      <c r="P43" s="135"/>
    </row>
    <row r="44" spans="1:16" ht="13.5" customHeight="1" x14ac:dyDescent="0.25">
      <c r="A44" s="18">
        <v>31</v>
      </c>
      <c r="B44" s="19">
        <v>45701</v>
      </c>
      <c r="C44" s="128" t="s">
        <v>5</v>
      </c>
      <c r="D44" s="46" t="s">
        <v>60</v>
      </c>
      <c r="E44" s="128" t="s">
        <v>6</v>
      </c>
      <c r="F44" s="128" t="s">
        <v>7</v>
      </c>
      <c r="G44" s="128">
        <f>30*2.5</f>
        <v>75</v>
      </c>
      <c r="H44" s="128">
        <f>3+1</f>
        <v>4</v>
      </c>
      <c r="I44" s="128">
        <v>1</v>
      </c>
      <c r="J44" s="148"/>
      <c r="K44" s="149"/>
      <c r="L44" s="150"/>
      <c r="M44" s="21"/>
      <c r="O44" s="138"/>
      <c r="P44" s="135"/>
    </row>
    <row r="45" spans="1:16" ht="13.5" customHeight="1" thickBot="1" x14ac:dyDescent="0.3">
      <c r="A45" s="18">
        <v>32</v>
      </c>
      <c r="B45" s="33">
        <v>45701</v>
      </c>
      <c r="C45" s="34" t="s">
        <v>5</v>
      </c>
      <c r="D45" s="105" t="s">
        <v>66</v>
      </c>
      <c r="E45" s="34" t="s">
        <v>6</v>
      </c>
      <c r="F45" s="34" t="s">
        <v>7</v>
      </c>
      <c r="G45" s="34">
        <f>27*4.3</f>
        <v>116.1</v>
      </c>
      <c r="H45" s="34">
        <f>5+1</f>
        <v>6</v>
      </c>
      <c r="I45" s="34">
        <v>1</v>
      </c>
      <c r="J45" s="148"/>
      <c r="K45" s="149"/>
      <c r="L45" s="150"/>
      <c r="M45" s="35"/>
      <c r="O45" s="138"/>
      <c r="P45" s="135"/>
    </row>
    <row r="46" spans="1:16" ht="13.5" customHeight="1" thickBot="1" x14ac:dyDescent="0.3">
      <c r="A46" s="151" t="s">
        <v>406</v>
      </c>
      <c r="B46" s="152"/>
      <c r="C46" s="152"/>
      <c r="D46" s="152"/>
      <c r="E46" s="152"/>
      <c r="F46" s="152"/>
      <c r="G46" s="36"/>
      <c r="H46" s="36"/>
      <c r="I46" s="36"/>
      <c r="J46" s="36"/>
      <c r="K46" s="36"/>
      <c r="L46" s="36"/>
      <c r="M46" s="37"/>
      <c r="O46" s="138"/>
      <c r="P46" s="135"/>
    </row>
    <row r="47" spans="1:16" ht="21.75" customHeight="1" thickBot="1" x14ac:dyDescent="0.3">
      <c r="A47" s="14">
        <v>33</v>
      </c>
      <c r="B47" s="15">
        <v>45702</v>
      </c>
      <c r="C47" s="16" t="s">
        <v>5</v>
      </c>
      <c r="D47" s="45" t="s">
        <v>167</v>
      </c>
      <c r="E47" s="16" t="s">
        <v>6</v>
      </c>
      <c r="F47" s="16" t="s">
        <v>7</v>
      </c>
      <c r="G47" s="16">
        <f>(11*7.5*2.3)+(1*7.5*2.3)</f>
        <v>206.99999999999997</v>
      </c>
      <c r="H47" s="16">
        <f>10+2</f>
        <v>12</v>
      </c>
      <c r="I47" s="16">
        <v>2</v>
      </c>
      <c r="J47" s="145" t="s">
        <v>443</v>
      </c>
      <c r="K47" s="146"/>
      <c r="L47" s="147"/>
      <c r="M47" s="17"/>
      <c r="O47" s="138"/>
      <c r="P47" s="135"/>
    </row>
    <row r="48" spans="1:16" ht="13.5" customHeight="1" thickBot="1" x14ac:dyDescent="0.3">
      <c r="A48" s="151" t="s">
        <v>142</v>
      </c>
      <c r="B48" s="152"/>
      <c r="C48" s="152"/>
      <c r="D48" s="152"/>
      <c r="E48" s="152"/>
      <c r="F48" s="152"/>
      <c r="G48" s="36"/>
      <c r="H48" s="36"/>
      <c r="I48" s="36"/>
      <c r="J48" s="36"/>
      <c r="K48" s="36"/>
      <c r="L48" s="36"/>
      <c r="M48" s="37"/>
      <c r="O48" s="138"/>
      <c r="P48" s="135"/>
    </row>
    <row r="49" spans="1:16" ht="21.75" customHeight="1" thickBot="1" x14ac:dyDescent="0.3">
      <c r="A49" s="14">
        <v>34</v>
      </c>
      <c r="B49" s="15">
        <v>45702</v>
      </c>
      <c r="C49" s="16" t="s">
        <v>5</v>
      </c>
      <c r="D49" s="45" t="s">
        <v>73</v>
      </c>
      <c r="E49" s="16" t="s">
        <v>6</v>
      </c>
      <c r="F49" s="16" t="s">
        <v>7</v>
      </c>
      <c r="G49" s="16">
        <f>(6*2.5*5)+(1*3.6*6)</f>
        <v>96.6</v>
      </c>
      <c r="H49" s="16">
        <f>6+1</f>
        <v>7</v>
      </c>
      <c r="I49" s="16">
        <v>1</v>
      </c>
      <c r="J49" s="145" t="s">
        <v>443</v>
      </c>
      <c r="K49" s="146"/>
      <c r="L49" s="147"/>
      <c r="M49" s="17"/>
      <c r="O49" s="138"/>
      <c r="P49" s="135"/>
    </row>
    <row r="50" spans="1:16" ht="13.5" customHeight="1" thickBot="1" x14ac:dyDescent="0.3">
      <c r="A50" s="151" t="s">
        <v>138</v>
      </c>
      <c r="B50" s="152"/>
      <c r="C50" s="152"/>
      <c r="D50" s="152"/>
      <c r="E50" s="152"/>
      <c r="F50" s="152"/>
      <c r="G50" s="36"/>
      <c r="H50" s="36"/>
      <c r="I50" s="36"/>
      <c r="J50" s="36"/>
      <c r="K50" s="36"/>
      <c r="L50" s="36"/>
      <c r="M50" s="37"/>
      <c r="O50" s="138"/>
      <c r="P50" s="135"/>
    </row>
    <row r="51" spans="1:16" ht="21.75" customHeight="1" thickBot="1" x14ac:dyDescent="0.3">
      <c r="A51" s="14">
        <v>35</v>
      </c>
      <c r="B51" s="15">
        <v>45702</v>
      </c>
      <c r="C51" s="16" t="s">
        <v>5</v>
      </c>
      <c r="D51" s="45" t="s">
        <v>139</v>
      </c>
      <c r="E51" s="16" t="s">
        <v>6</v>
      </c>
      <c r="F51" s="16" t="s">
        <v>7</v>
      </c>
      <c r="G51" s="16">
        <f>((24+28)/2)*9.5</f>
        <v>247</v>
      </c>
      <c r="H51" s="16">
        <f>7+1</f>
        <v>8</v>
      </c>
      <c r="I51" s="16">
        <v>1</v>
      </c>
      <c r="J51" s="145" t="s">
        <v>443</v>
      </c>
      <c r="K51" s="146"/>
      <c r="L51" s="147"/>
      <c r="M51" s="17"/>
      <c r="O51" s="138"/>
      <c r="P51" s="135"/>
    </row>
    <row r="52" spans="1:16" ht="13.5" customHeight="1" thickBot="1" x14ac:dyDescent="0.3">
      <c r="A52" s="151" t="s">
        <v>407</v>
      </c>
      <c r="B52" s="152"/>
      <c r="C52" s="152"/>
      <c r="D52" s="152"/>
      <c r="E52" s="152"/>
      <c r="F52" s="152"/>
      <c r="G52" s="36"/>
      <c r="H52" s="36"/>
      <c r="I52" s="36"/>
      <c r="J52" s="36"/>
      <c r="K52" s="36"/>
      <c r="L52" s="36"/>
      <c r="M52" s="37"/>
      <c r="O52" s="138"/>
      <c r="P52" s="135"/>
    </row>
    <row r="53" spans="1:16" ht="21.75" customHeight="1" thickBot="1" x14ac:dyDescent="0.3">
      <c r="A53" s="14">
        <v>36</v>
      </c>
      <c r="B53" s="15">
        <v>45702</v>
      </c>
      <c r="C53" s="16" t="s">
        <v>5</v>
      </c>
      <c r="D53" s="45" t="s">
        <v>168</v>
      </c>
      <c r="E53" s="16" t="s">
        <v>6</v>
      </c>
      <c r="F53" s="16" t="s">
        <v>7</v>
      </c>
      <c r="G53" s="16">
        <f>(3*2.5*5.5)+(1*3.6*6)</f>
        <v>62.85</v>
      </c>
      <c r="H53" s="16">
        <f>3+1</f>
        <v>4</v>
      </c>
      <c r="I53" s="16">
        <v>1</v>
      </c>
      <c r="J53" s="145" t="s">
        <v>446</v>
      </c>
      <c r="K53" s="146"/>
      <c r="L53" s="147"/>
      <c r="M53" s="17"/>
      <c r="O53" s="138"/>
      <c r="P53" s="135"/>
    </row>
    <row r="54" spans="1:16" ht="13.5" customHeight="1" thickBot="1" x14ac:dyDescent="0.3">
      <c r="A54" s="151" t="s">
        <v>408</v>
      </c>
      <c r="B54" s="152"/>
      <c r="C54" s="152"/>
      <c r="D54" s="152"/>
      <c r="E54" s="152"/>
      <c r="F54" s="152"/>
      <c r="G54" s="36"/>
      <c r="H54" s="36"/>
      <c r="I54" s="36"/>
      <c r="J54" s="36"/>
      <c r="K54" s="36"/>
      <c r="L54" s="36"/>
      <c r="M54" s="37"/>
      <c r="O54" s="138"/>
      <c r="P54" s="135"/>
    </row>
    <row r="55" spans="1:16" ht="21.75" customHeight="1" thickBot="1" x14ac:dyDescent="0.3">
      <c r="A55" s="14">
        <v>37</v>
      </c>
      <c r="B55" s="15">
        <v>45705</v>
      </c>
      <c r="C55" s="16" t="s">
        <v>5</v>
      </c>
      <c r="D55" s="45" t="s">
        <v>169</v>
      </c>
      <c r="E55" s="16" t="s">
        <v>6</v>
      </c>
      <c r="F55" s="16" t="s">
        <v>7</v>
      </c>
      <c r="G55" s="38">
        <f>(51*16.5)+(11.5*2)+(8*2)</f>
        <v>880.5</v>
      </c>
      <c r="H55" s="16">
        <f>15+4+14</f>
        <v>33</v>
      </c>
      <c r="I55" s="16">
        <v>4</v>
      </c>
      <c r="J55" s="145" t="s">
        <v>443</v>
      </c>
      <c r="K55" s="172"/>
      <c r="L55" s="173"/>
      <c r="M55" s="17"/>
      <c r="O55" s="138"/>
      <c r="P55" s="135"/>
    </row>
    <row r="56" spans="1:16" ht="13.5" customHeight="1" thickBot="1" x14ac:dyDescent="0.3">
      <c r="A56" s="151" t="s">
        <v>409</v>
      </c>
      <c r="B56" s="152"/>
      <c r="C56" s="152"/>
      <c r="D56" s="152"/>
      <c r="E56" s="152"/>
      <c r="F56" s="152"/>
      <c r="G56" s="12"/>
      <c r="H56" s="12"/>
      <c r="I56" s="12"/>
      <c r="J56" s="12"/>
      <c r="K56" s="12"/>
      <c r="L56" s="12"/>
      <c r="M56" s="13"/>
      <c r="O56" s="138"/>
      <c r="P56" s="135"/>
    </row>
    <row r="57" spans="1:16" ht="13.5" customHeight="1" x14ac:dyDescent="0.25">
      <c r="A57" s="14">
        <v>38</v>
      </c>
      <c r="B57" s="15">
        <v>45705</v>
      </c>
      <c r="C57" s="16" t="s">
        <v>5</v>
      </c>
      <c r="D57" s="45" t="s">
        <v>67</v>
      </c>
      <c r="E57" s="16" t="s">
        <v>6</v>
      </c>
      <c r="F57" s="16" t="s">
        <v>7</v>
      </c>
      <c r="G57" s="16">
        <f>2*7.5*2.5</f>
        <v>37.5</v>
      </c>
      <c r="H57" s="16">
        <f>1+1</f>
        <v>2</v>
      </c>
      <c r="I57" s="16">
        <v>1</v>
      </c>
      <c r="J57" s="145" t="s">
        <v>443</v>
      </c>
      <c r="K57" s="146"/>
      <c r="L57" s="147"/>
      <c r="M57" s="17"/>
      <c r="O57" s="138"/>
      <c r="P57" s="135"/>
    </row>
    <row r="58" spans="1:16" ht="13.5" customHeight="1" x14ac:dyDescent="0.25">
      <c r="A58" s="18">
        <v>39</v>
      </c>
      <c r="B58" s="19">
        <v>45705</v>
      </c>
      <c r="C58" s="128" t="s">
        <v>5</v>
      </c>
      <c r="D58" s="46" t="s">
        <v>68</v>
      </c>
      <c r="E58" s="128" t="s">
        <v>6</v>
      </c>
      <c r="F58" s="128" t="s">
        <v>7</v>
      </c>
      <c r="G58" s="129">
        <f>(7*2.5*5)+(1*3.5*5)</f>
        <v>105</v>
      </c>
      <c r="H58" s="128">
        <f>7+1</f>
        <v>8</v>
      </c>
      <c r="I58" s="128">
        <v>1</v>
      </c>
      <c r="J58" s="148"/>
      <c r="K58" s="149"/>
      <c r="L58" s="150"/>
      <c r="M58" s="21"/>
      <c r="O58" s="138"/>
      <c r="P58" s="135"/>
    </row>
    <row r="59" spans="1:16" ht="13.5" customHeight="1" thickBot="1" x14ac:dyDescent="0.3">
      <c r="A59" s="32">
        <v>40</v>
      </c>
      <c r="B59" s="19">
        <v>45705</v>
      </c>
      <c r="C59" s="128" t="s">
        <v>5</v>
      </c>
      <c r="D59" s="46" t="s">
        <v>91</v>
      </c>
      <c r="E59" s="128" t="s">
        <v>6</v>
      </c>
      <c r="F59" s="128" t="s">
        <v>7</v>
      </c>
      <c r="G59" s="128">
        <f>(56*4)</f>
        <v>224</v>
      </c>
      <c r="H59" s="128">
        <f>5+1</f>
        <v>6</v>
      </c>
      <c r="I59" s="128">
        <v>1</v>
      </c>
      <c r="J59" s="153"/>
      <c r="K59" s="154"/>
      <c r="L59" s="155"/>
      <c r="M59" s="35"/>
      <c r="O59" s="138"/>
      <c r="P59" s="135"/>
    </row>
    <row r="60" spans="1:16" ht="13.5" customHeight="1" thickBot="1" x14ac:dyDescent="0.3">
      <c r="A60" s="151" t="s">
        <v>445</v>
      </c>
      <c r="B60" s="152"/>
      <c r="C60" s="152"/>
      <c r="D60" s="152"/>
      <c r="E60" s="152"/>
      <c r="F60" s="152"/>
      <c r="G60" s="12"/>
      <c r="H60" s="12"/>
      <c r="I60" s="12"/>
      <c r="J60" s="12"/>
      <c r="K60" s="12"/>
      <c r="L60" s="12"/>
      <c r="M60" s="13"/>
      <c r="O60" s="138"/>
      <c r="P60" s="135"/>
    </row>
    <row r="61" spans="1:16" ht="13.5" customHeight="1" x14ac:dyDescent="0.25">
      <c r="A61" s="14">
        <v>41</v>
      </c>
      <c r="B61" s="15">
        <v>45705</v>
      </c>
      <c r="C61" s="16" t="s">
        <v>5</v>
      </c>
      <c r="D61" s="45" t="s">
        <v>143</v>
      </c>
      <c r="E61" s="16" t="s">
        <v>6</v>
      </c>
      <c r="F61" s="16" t="s">
        <v>7</v>
      </c>
      <c r="G61" s="38">
        <f>(3*2.5*5)+(1*3.6*6)+(8*2.5*5)+(1*3.6*6)</f>
        <v>180.7</v>
      </c>
      <c r="H61" s="16">
        <f>3+1+8+1</f>
        <v>13</v>
      </c>
      <c r="I61" s="16">
        <f>1+1</f>
        <v>2</v>
      </c>
      <c r="J61" s="145" t="s">
        <v>443</v>
      </c>
      <c r="K61" s="146"/>
      <c r="L61" s="147"/>
      <c r="M61" s="17"/>
      <c r="O61" s="138"/>
      <c r="P61" s="135"/>
    </row>
    <row r="62" spans="1:16" ht="13.5" customHeight="1" x14ac:dyDescent="0.25">
      <c r="A62" s="32">
        <v>42</v>
      </c>
      <c r="B62" s="19">
        <v>45705</v>
      </c>
      <c r="C62" s="128" t="s">
        <v>5</v>
      </c>
      <c r="D62" s="46" t="s">
        <v>144</v>
      </c>
      <c r="E62" s="128" t="s">
        <v>6</v>
      </c>
      <c r="F62" s="128" t="s">
        <v>7</v>
      </c>
      <c r="G62" s="24">
        <f>(2*3*5)+(1*3.6*6)</f>
        <v>51.6</v>
      </c>
      <c r="H62" s="128">
        <f>2+1</f>
        <v>3</v>
      </c>
      <c r="I62" s="128">
        <v>1</v>
      </c>
      <c r="J62" s="148"/>
      <c r="K62" s="149"/>
      <c r="L62" s="150"/>
      <c r="M62" s="39"/>
      <c r="O62" s="138"/>
      <c r="P62" s="135"/>
    </row>
    <row r="63" spans="1:16" ht="13.5" customHeight="1" thickBot="1" x14ac:dyDescent="0.3">
      <c r="A63" s="32">
        <v>43</v>
      </c>
      <c r="B63" s="19">
        <v>45705</v>
      </c>
      <c r="C63" s="128" t="s">
        <v>5</v>
      </c>
      <c r="D63" s="46" t="s">
        <v>144</v>
      </c>
      <c r="E63" s="128" t="s">
        <v>6</v>
      </c>
      <c r="F63" s="128" t="s">
        <v>7</v>
      </c>
      <c r="G63" s="40">
        <f>(2*3*5)+(1*4*6)</f>
        <v>54</v>
      </c>
      <c r="H63" s="128">
        <f>2+1</f>
        <v>3</v>
      </c>
      <c r="I63" s="128">
        <v>1</v>
      </c>
      <c r="J63" s="153"/>
      <c r="K63" s="154"/>
      <c r="L63" s="155"/>
      <c r="M63" s="35"/>
      <c r="O63" s="138"/>
      <c r="P63" s="135"/>
    </row>
    <row r="64" spans="1:16" ht="13.5" customHeight="1" thickBot="1" x14ac:dyDescent="0.3">
      <c r="A64" s="151" t="s">
        <v>410</v>
      </c>
      <c r="B64" s="152"/>
      <c r="C64" s="152"/>
      <c r="D64" s="152"/>
      <c r="E64" s="152"/>
      <c r="F64" s="152"/>
      <c r="G64" s="12"/>
      <c r="H64" s="12"/>
      <c r="I64" s="12"/>
      <c r="J64" s="12"/>
      <c r="K64" s="12"/>
      <c r="L64" s="12"/>
      <c r="M64" s="13"/>
      <c r="O64" s="138"/>
      <c r="P64" s="135"/>
    </row>
    <row r="65" spans="1:16" ht="13.5" customHeight="1" x14ac:dyDescent="0.25">
      <c r="A65" s="14">
        <v>44</v>
      </c>
      <c r="B65" s="15">
        <v>45706</v>
      </c>
      <c r="C65" s="16" t="s">
        <v>5</v>
      </c>
      <c r="D65" s="45" t="s">
        <v>170</v>
      </c>
      <c r="E65" s="16" t="s">
        <v>6</v>
      </c>
      <c r="F65" s="16" t="s">
        <v>7</v>
      </c>
      <c r="G65" s="41">
        <f>(68*5)</f>
        <v>340</v>
      </c>
      <c r="H65" s="16">
        <f>19+3</f>
        <v>22</v>
      </c>
      <c r="I65" s="16">
        <v>3</v>
      </c>
      <c r="J65" s="145" t="s">
        <v>443</v>
      </c>
      <c r="K65" s="146"/>
      <c r="L65" s="147"/>
      <c r="M65" s="17"/>
      <c r="O65" s="138"/>
      <c r="P65" s="135"/>
    </row>
    <row r="66" spans="1:16" ht="13.5" customHeight="1" x14ac:dyDescent="0.25">
      <c r="A66" s="42">
        <v>45</v>
      </c>
      <c r="B66" s="19">
        <v>45706</v>
      </c>
      <c r="C66" s="128" t="s">
        <v>5</v>
      </c>
      <c r="D66" s="46" t="s">
        <v>172</v>
      </c>
      <c r="E66" s="128" t="s">
        <v>6</v>
      </c>
      <c r="F66" s="128" t="s">
        <v>7</v>
      </c>
      <c r="G66" s="128">
        <f>(7*2.5*6)+(1*3.6*6)</f>
        <v>126.6</v>
      </c>
      <c r="H66" s="128">
        <f>7+1</f>
        <v>8</v>
      </c>
      <c r="I66" s="128">
        <v>1</v>
      </c>
      <c r="J66" s="148"/>
      <c r="K66" s="149"/>
      <c r="L66" s="150"/>
      <c r="M66" s="35"/>
      <c r="O66" s="138"/>
      <c r="P66" s="135"/>
    </row>
    <row r="67" spans="1:16" ht="13.5" customHeight="1" thickBot="1" x14ac:dyDescent="0.3">
      <c r="A67" s="32">
        <v>46</v>
      </c>
      <c r="B67" s="19">
        <v>45706</v>
      </c>
      <c r="C67" s="128" t="s">
        <v>5</v>
      </c>
      <c r="D67" s="46" t="s">
        <v>171</v>
      </c>
      <c r="E67" s="128" t="s">
        <v>6</v>
      </c>
      <c r="F67" s="128" t="s">
        <v>7</v>
      </c>
      <c r="G67" s="128">
        <f>(7*2.5*5)+(1*3.6*6)</f>
        <v>109.1</v>
      </c>
      <c r="H67" s="128">
        <f>7+1</f>
        <v>8</v>
      </c>
      <c r="I67" s="128">
        <v>1</v>
      </c>
      <c r="J67" s="153"/>
      <c r="K67" s="154"/>
      <c r="L67" s="155"/>
      <c r="M67" s="35"/>
      <c r="O67" s="138"/>
      <c r="P67" s="135"/>
    </row>
    <row r="68" spans="1:16" ht="13.5" customHeight="1" thickBot="1" x14ac:dyDescent="0.3">
      <c r="A68" s="151" t="s">
        <v>411</v>
      </c>
      <c r="B68" s="152"/>
      <c r="C68" s="152"/>
      <c r="D68" s="152"/>
      <c r="E68" s="152"/>
      <c r="F68" s="152"/>
      <c r="G68" s="12"/>
      <c r="H68" s="12"/>
      <c r="I68" s="12"/>
      <c r="J68" s="12"/>
      <c r="K68" s="12"/>
      <c r="L68" s="12"/>
      <c r="M68" s="13"/>
      <c r="O68" s="138"/>
      <c r="P68" s="135"/>
    </row>
    <row r="69" spans="1:16" ht="13.5" customHeight="1" x14ac:dyDescent="0.25">
      <c r="A69" s="14">
        <v>47</v>
      </c>
      <c r="B69" s="15">
        <v>45706</v>
      </c>
      <c r="C69" s="16" t="s">
        <v>5</v>
      </c>
      <c r="D69" s="45" t="s">
        <v>173</v>
      </c>
      <c r="E69" s="16" t="s">
        <v>6</v>
      </c>
      <c r="F69" s="16" t="s">
        <v>7</v>
      </c>
      <c r="G69" s="16">
        <f>36.5*4.3</f>
        <v>156.94999999999999</v>
      </c>
      <c r="H69" s="16">
        <f>8+1</f>
        <v>9</v>
      </c>
      <c r="I69" s="16">
        <v>1</v>
      </c>
      <c r="J69" s="145" t="s">
        <v>443</v>
      </c>
      <c r="K69" s="146"/>
      <c r="L69" s="147"/>
      <c r="M69" s="17"/>
      <c r="O69" s="138"/>
      <c r="P69" s="135"/>
    </row>
    <row r="70" spans="1:16" ht="13.5" customHeight="1" x14ac:dyDescent="0.25">
      <c r="A70" s="18">
        <v>48</v>
      </c>
      <c r="B70" s="19">
        <v>45706</v>
      </c>
      <c r="C70" s="128" t="s">
        <v>5</v>
      </c>
      <c r="D70" s="46" t="s">
        <v>174</v>
      </c>
      <c r="E70" s="128" t="s">
        <v>6</v>
      </c>
      <c r="F70" s="128" t="s">
        <v>7</v>
      </c>
      <c r="G70" s="43">
        <f>(22*5)+(25*5)</f>
        <v>235</v>
      </c>
      <c r="H70" s="128">
        <f>7+1+6+1</f>
        <v>15</v>
      </c>
      <c r="I70" s="128">
        <f>1+1</f>
        <v>2</v>
      </c>
      <c r="J70" s="148"/>
      <c r="K70" s="149"/>
      <c r="L70" s="150"/>
      <c r="M70" s="21"/>
      <c r="O70" s="138"/>
      <c r="P70" s="135"/>
    </row>
    <row r="71" spans="1:16" ht="13.5" customHeight="1" x14ac:dyDescent="0.25">
      <c r="A71" s="18">
        <v>49</v>
      </c>
      <c r="B71" s="19">
        <v>45706</v>
      </c>
      <c r="C71" s="128" t="s">
        <v>5</v>
      </c>
      <c r="D71" s="46" t="s">
        <v>175</v>
      </c>
      <c r="E71" s="128" t="s">
        <v>6</v>
      </c>
      <c r="F71" s="128" t="s">
        <v>7</v>
      </c>
      <c r="G71" s="128">
        <f>6*7.5*2.5</f>
        <v>112.5</v>
      </c>
      <c r="H71" s="128">
        <f>4+1</f>
        <v>5</v>
      </c>
      <c r="I71" s="128">
        <v>1</v>
      </c>
      <c r="J71" s="148"/>
      <c r="K71" s="149"/>
      <c r="L71" s="150"/>
      <c r="M71" s="21"/>
      <c r="O71" s="138"/>
      <c r="P71" s="135"/>
    </row>
    <row r="72" spans="1:16" ht="13.5" customHeight="1" x14ac:dyDescent="0.25">
      <c r="A72" s="18">
        <v>50</v>
      </c>
      <c r="B72" s="19">
        <v>45706</v>
      </c>
      <c r="C72" s="128" t="s">
        <v>5</v>
      </c>
      <c r="D72" s="46" t="s">
        <v>176</v>
      </c>
      <c r="E72" s="128" t="s">
        <v>6</v>
      </c>
      <c r="F72" s="128" t="s">
        <v>7</v>
      </c>
      <c r="G72" s="128">
        <f>(7*9)</f>
        <v>63</v>
      </c>
      <c r="H72" s="24">
        <f>2+1</f>
        <v>3</v>
      </c>
      <c r="I72" s="128">
        <v>1</v>
      </c>
      <c r="J72" s="148"/>
      <c r="K72" s="149"/>
      <c r="L72" s="150"/>
      <c r="M72" s="21"/>
      <c r="O72" s="138"/>
      <c r="P72" s="135"/>
    </row>
    <row r="73" spans="1:16" ht="13.5" customHeight="1" x14ac:dyDescent="0.25">
      <c r="A73" s="18">
        <v>51</v>
      </c>
      <c r="B73" s="19">
        <v>45706</v>
      </c>
      <c r="C73" s="128" t="s">
        <v>5</v>
      </c>
      <c r="D73" s="46" t="s">
        <v>176</v>
      </c>
      <c r="E73" s="128" t="s">
        <v>6</v>
      </c>
      <c r="F73" s="128" t="s">
        <v>7</v>
      </c>
      <c r="G73" s="128">
        <f>(7*15)</f>
        <v>105</v>
      </c>
      <c r="H73" s="24">
        <f>4+1</f>
        <v>5</v>
      </c>
      <c r="I73" s="128">
        <v>1</v>
      </c>
      <c r="J73" s="148"/>
      <c r="K73" s="149"/>
      <c r="L73" s="150"/>
      <c r="M73" s="21"/>
      <c r="O73" s="138"/>
      <c r="P73" s="135"/>
    </row>
    <row r="74" spans="1:16" ht="13.5" customHeight="1" x14ac:dyDescent="0.25">
      <c r="A74" s="18">
        <v>52</v>
      </c>
      <c r="B74" s="19">
        <v>45706</v>
      </c>
      <c r="C74" s="128" t="s">
        <v>5</v>
      </c>
      <c r="D74" s="46" t="s">
        <v>177</v>
      </c>
      <c r="E74" s="128" t="s">
        <v>6</v>
      </c>
      <c r="F74" s="128" t="s">
        <v>7</v>
      </c>
      <c r="G74" s="128">
        <f>(4*2.5*4.6)+(1*3.6*4.6)+(5*2.5*4.6)+(1*3.6*4.6)</f>
        <v>136.62</v>
      </c>
      <c r="H74" s="128">
        <f>4+1+5+1</f>
        <v>11</v>
      </c>
      <c r="I74" s="128">
        <v>2</v>
      </c>
      <c r="J74" s="148"/>
      <c r="K74" s="149"/>
      <c r="L74" s="150"/>
      <c r="M74" s="21"/>
      <c r="O74" s="138"/>
      <c r="P74" s="135"/>
    </row>
    <row r="75" spans="1:16" ht="13.5" customHeight="1" thickBot="1" x14ac:dyDescent="0.3">
      <c r="A75" s="18">
        <v>53</v>
      </c>
      <c r="B75" s="19">
        <v>45706</v>
      </c>
      <c r="C75" s="128" t="s">
        <v>5</v>
      </c>
      <c r="D75" s="46" t="s">
        <v>178</v>
      </c>
      <c r="E75" s="128" t="s">
        <v>6</v>
      </c>
      <c r="F75" s="128" t="s">
        <v>7</v>
      </c>
      <c r="G75" s="44">
        <f>35*4.6</f>
        <v>161</v>
      </c>
      <c r="H75" s="128">
        <f>8+1</f>
        <v>9</v>
      </c>
      <c r="I75" s="128">
        <v>1</v>
      </c>
      <c r="J75" s="148"/>
      <c r="K75" s="149"/>
      <c r="L75" s="150"/>
      <c r="M75" s="21"/>
      <c r="O75" s="138"/>
      <c r="P75" s="135"/>
    </row>
    <row r="76" spans="1:16" ht="13.5" customHeight="1" thickBot="1" x14ac:dyDescent="0.3">
      <c r="A76" s="151" t="s">
        <v>412</v>
      </c>
      <c r="B76" s="152"/>
      <c r="C76" s="152"/>
      <c r="D76" s="152"/>
      <c r="E76" s="152"/>
      <c r="F76" s="152"/>
      <c r="G76" s="12"/>
      <c r="H76" s="12"/>
      <c r="I76" s="12"/>
      <c r="J76" s="12"/>
      <c r="K76" s="12"/>
      <c r="L76" s="12"/>
      <c r="M76" s="13"/>
      <c r="O76" s="138"/>
      <c r="P76" s="135"/>
    </row>
    <row r="77" spans="1:16" ht="13.5" customHeight="1" x14ac:dyDescent="0.25">
      <c r="A77" s="14">
        <v>54</v>
      </c>
      <c r="B77" s="15">
        <v>45707</v>
      </c>
      <c r="C77" s="16" t="s">
        <v>5</v>
      </c>
      <c r="D77" s="45" t="s">
        <v>179</v>
      </c>
      <c r="E77" s="16" t="s">
        <v>6</v>
      </c>
      <c r="F77" s="16" t="s">
        <v>7</v>
      </c>
      <c r="G77" s="16">
        <f>(30*6)</f>
        <v>180</v>
      </c>
      <c r="H77" s="16">
        <f>9+1</f>
        <v>10</v>
      </c>
      <c r="I77" s="16">
        <v>1</v>
      </c>
      <c r="J77" s="145" t="s">
        <v>443</v>
      </c>
      <c r="K77" s="146"/>
      <c r="L77" s="147"/>
      <c r="M77" s="17"/>
      <c r="O77" s="138"/>
      <c r="P77" s="135"/>
    </row>
    <row r="78" spans="1:16" ht="13.5" customHeight="1" x14ac:dyDescent="0.25">
      <c r="A78" s="18">
        <v>55</v>
      </c>
      <c r="B78" s="19">
        <v>45707</v>
      </c>
      <c r="C78" s="128" t="s">
        <v>5</v>
      </c>
      <c r="D78" s="46" t="s">
        <v>179</v>
      </c>
      <c r="E78" s="128" t="s">
        <v>6</v>
      </c>
      <c r="F78" s="128" t="s">
        <v>7</v>
      </c>
      <c r="G78" s="128">
        <f>(44*2.8)</f>
        <v>123.19999999999999</v>
      </c>
      <c r="H78" s="128">
        <f>5+1</f>
        <v>6</v>
      </c>
      <c r="I78" s="128">
        <v>1</v>
      </c>
      <c r="J78" s="148"/>
      <c r="K78" s="149"/>
      <c r="L78" s="150"/>
      <c r="M78" s="21"/>
      <c r="O78" s="138"/>
      <c r="P78" s="135"/>
    </row>
    <row r="79" spans="1:16" ht="13.5" customHeight="1" x14ac:dyDescent="0.25">
      <c r="A79" s="18">
        <v>56</v>
      </c>
      <c r="B79" s="19">
        <v>45707</v>
      </c>
      <c r="C79" s="128" t="s">
        <v>5</v>
      </c>
      <c r="D79" s="46" t="s">
        <v>180</v>
      </c>
      <c r="E79" s="128" t="s">
        <v>6</v>
      </c>
      <c r="F79" s="128" t="s">
        <v>7</v>
      </c>
      <c r="G79" s="129">
        <f>(12*3*5.6)+(2*3.6*5.6)</f>
        <v>241.92</v>
      </c>
      <c r="H79" s="128">
        <f>12+2</f>
        <v>14</v>
      </c>
      <c r="I79" s="128">
        <v>2</v>
      </c>
      <c r="J79" s="148"/>
      <c r="K79" s="149"/>
      <c r="L79" s="150"/>
      <c r="M79" s="21"/>
      <c r="O79" s="138"/>
      <c r="P79" s="135"/>
    </row>
    <row r="80" spans="1:16" ht="13.5" customHeight="1" thickBot="1" x14ac:dyDescent="0.3">
      <c r="A80" s="32">
        <v>57</v>
      </c>
      <c r="B80" s="19">
        <v>45707</v>
      </c>
      <c r="C80" s="128" t="s">
        <v>5</v>
      </c>
      <c r="D80" s="46" t="s">
        <v>181</v>
      </c>
      <c r="E80" s="128" t="s">
        <v>6</v>
      </c>
      <c r="F80" s="128" t="s">
        <v>7</v>
      </c>
      <c r="G80" s="128">
        <f>(50*5.5)</f>
        <v>275</v>
      </c>
      <c r="H80" s="128">
        <f>2+2+5</f>
        <v>9</v>
      </c>
      <c r="I80" s="128">
        <v>2</v>
      </c>
      <c r="J80" s="153"/>
      <c r="K80" s="154"/>
      <c r="L80" s="155"/>
      <c r="M80" s="35"/>
      <c r="O80" s="138"/>
      <c r="P80" s="135"/>
    </row>
    <row r="81" spans="1:16" ht="13.5" customHeight="1" thickBot="1" x14ac:dyDescent="0.3">
      <c r="A81" s="151" t="s">
        <v>413</v>
      </c>
      <c r="B81" s="152"/>
      <c r="C81" s="152"/>
      <c r="D81" s="152"/>
      <c r="E81" s="152"/>
      <c r="F81" s="152"/>
      <c r="G81" s="36"/>
      <c r="H81" s="36"/>
      <c r="I81" s="36"/>
      <c r="J81" s="36"/>
      <c r="K81" s="36"/>
      <c r="L81" s="36"/>
      <c r="M81" s="37"/>
      <c r="O81" s="138"/>
      <c r="P81" s="135"/>
    </row>
    <row r="82" spans="1:16" ht="21.75" customHeight="1" thickBot="1" x14ac:dyDescent="0.3">
      <c r="A82" s="14">
        <v>58</v>
      </c>
      <c r="B82" s="15">
        <v>45707</v>
      </c>
      <c r="C82" s="16" t="s">
        <v>5</v>
      </c>
      <c r="D82" s="45" t="s">
        <v>182</v>
      </c>
      <c r="E82" s="16" t="s">
        <v>6</v>
      </c>
      <c r="F82" s="16" t="s">
        <v>7</v>
      </c>
      <c r="G82" s="16">
        <f>2*9*2.7</f>
        <v>48.6</v>
      </c>
      <c r="H82" s="16">
        <v>2</v>
      </c>
      <c r="I82" s="16">
        <v>1</v>
      </c>
      <c r="J82" s="145" t="s">
        <v>443</v>
      </c>
      <c r="K82" s="146"/>
      <c r="L82" s="147"/>
      <c r="M82" s="17"/>
      <c r="O82" s="138"/>
      <c r="P82" s="135"/>
    </row>
    <row r="83" spans="1:16" ht="13.5" customHeight="1" thickBot="1" x14ac:dyDescent="0.3">
      <c r="A83" s="151" t="s">
        <v>183</v>
      </c>
      <c r="B83" s="152"/>
      <c r="C83" s="152"/>
      <c r="D83" s="152"/>
      <c r="E83" s="152"/>
      <c r="F83" s="152"/>
      <c r="G83" s="12"/>
      <c r="H83" s="12"/>
      <c r="I83" s="12"/>
      <c r="J83" s="12"/>
      <c r="K83" s="12"/>
      <c r="L83" s="12"/>
      <c r="M83" s="13"/>
      <c r="O83" s="138"/>
      <c r="P83" s="135"/>
    </row>
    <row r="84" spans="1:16" ht="13.5" customHeight="1" x14ac:dyDescent="0.25">
      <c r="A84" s="14">
        <v>59</v>
      </c>
      <c r="B84" s="15">
        <v>45707</v>
      </c>
      <c r="C84" s="16" t="s">
        <v>5</v>
      </c>
      <c r="D84" s="92" t="s">
        <v>184</v>
      </c>
      <c r="E84" s="38" t="s">
        <v>6</v>
      </c>
      <c r="F84" s="38" t="s">
        <v>7</v>
      </c>
      <c r="G84" s="47">
        <f>(36*5.5)</f>
        <v>198</v>
      </c>
      <c r="H84" s="16">
        <f>8+1</f>
        <v>9</v>
      </c>
      <c r="I84" s="16">
        <v>1</v>
      </c>
      <c r="J84" s="145" t="s">
        <v>443</v>
      </c>
      <c r="K84" s="146"/>
      <c r="L84" s="147"/>
      <c r="M84" s="17"/>
      <c r="O84" s="138"/>
      <c r="P84" s="135"/>
    </row>
    <row r="85" spans="1:16" ht="13.5" customHeight="1" x14ac:dyDescent="0.25">
      <c r="A85" s="42">
        <v>60</v>
      </c>
      <c r="B85" s="48">
        <v>45707</v>
      </c>
      <c r="C85" s="129" t="s">
        <v>5</v>
      </c>
      <c r="D85" s="106" t="s">
        <v>185</v>
      </c>
      <c r="E85" s="24" t="s">
        <v>6</v>
      </c>
      <c r="F85" s="24" t="s">
        <v>7</v>
      </c>
      <c r="G85" s="49">
        <f>(20*6)</f>
        <v>120</v>
      </c>
      <c r="H85" s="128">
        <f>4+1</f>
        <v>5</v>
      </c>
      <c r="I85" s="128">
        <v>1</v>
      </c>
      <c r="J85" s="148"/>
      <c r="K85" s="149"/>
      <c r="L85" s="150"/>
      <c r="M85" s="21"/>
      <c r="O85" s="138"/>
      <c r="P85" s="135"/>
    </row>
    <row r="86" spans="1:16" ht="13.5" customHeight="1" x14ac:dyDescent="0.25">
      <c r="A86" s="18">
        <v>61</v>
      </c>
      <c r="B86" s="48">
        <v>45707</v>
      </c>
      <c r="C86" s="129" t="s">
        <v>5</v>
      </c>
      <c r="D86" s="106" t="s">
        <v>185</v>
      </c>
      <c r="E86" s="24" t="s">
        <v>6</v>
      </c>
      <c r="F86" s="24" t="s">
        <v>7</v>
      </c>
      <c r="G86" s="24">
        <f>11.5*4.1</f>
        <v>47.15</v>
      </c>
      <c r="H86" s="128">
        <v>1</v>
      </c>
      <c r="I86" s="128">
        <v>0</v>
      </c>
      <c r="J86" s="148"/>
      <c r="K86" s="149"/>
      <c r="L86" s="150"/>
      <c r="M86" s="21"/>
      <c r="O86" s="138"/>
      <c r="P86" s="135"/>
    </row>
    <row r="87" spans="1:16" ht="13.5" customHeight="1" x14ac:dyDescent="0.25">
      <c r="A87" s="18">
        <v>62</v>
      </c>
      <c r="B87" s="48">
        <v>45707</v>
      </c>
      <c r="C87" s="128" t="s">
        <v>5</v>
      </c>
      <c r="D87" s="103" t="s">
        <v>186</v>
      </c>
      <c r="E87" s="24" t="s">
        <v>6</v>
      </c>
      <c r="F87" s="24" t="s">
        <v>7</v>
      </c>
      <c r="G87" s="50">
        <f>16.5*4</f>
        <v>66</v>
      </c>
      <c r="H87" s="128">
        <f>1+1</f>
        <v>2</v>
      </c>
      <c r="I87" s="128">
        <v>1</v>
      </c>
      <c r="J87" s="148"/>
      <c r="K87" s="149"/>
      <c r="L87" s="150"/>
      <c r="M87" s="21"/>
      <c r="O87" s="138"/>
      <c r="P87" s="135"/>
    </row>
    <row r="88" spans="1:16" ht="13.5" customHeight="1" x14ac:dyDescent="0.25">
      <c r="A88" s="18">
        <v>63</v>
      </c>
      <c r="B88" s="48">
        <v>45707</v>
      </c>
      <c r="C88" s="128" t="s">
        <v>5</v>
      </c>
      <c r="D88" s="103" t="s">
        <v>187</v>
      </c>
      <c r="E88" s="24" t="s">
        <v>6</v>
      </c>
      <c r="F88" s="24" t="s">
        <v>7</v>
      </c>
      <c r="G88" s="50">
        <f>2*7.5*4</f>
        <v>60</v>
      </c>
      <c r="H88" s="128">
        <f>1+1</f>
        <v>2</v>
      </c>
      <c r="I88" s="128">
        <v>1</v>
      </c>
      <c r="J88" s="148"/>
      <c r="K88" s="149"/>
      <c r="L88" s="150"/>
      <c r="M88" s="21"/>
      <c r="O88" s="138"/>
      <c r="P88" s="135"/>
    </row>
    <row r="89" spans="1:16" ht="13.5" customHeight="1" x14ac:dyDescent="0.25">
      <c r="A89" s="18">
        <v>64</v>
      </c>
      <c r="B89" s="48">
        <v>45707</v>
      </c>
      <c r="C89" s="128" t="s">
        <v>5</v>
      </c>
      <c r="D89" s="103" t="s">
        <v>188</v>
      </c>
      <c r="E89" s="24" t="s">
        <v>6</v>
      </c>
      <c r="F89" s="24" t="s">
        <v>7</v>
      </c>
      <c r="G89" s="50">
        <f>(18*2.5*6)+(2*3.5*6)</f>
        <v>312</v>
      </c>
      <c r="H89" s="128">
        <f>18+2</f>
        <v>20</v>
      </c>
      <c r="I89" s="128">
        <v>2</v>
      </c>
      <c r="J89" s="148"/>
      <c r="K89" s="149"/>
      <c r="L89" s="150"/>
      <c r="M89" s="21"/>
      <c r="O89" s="138"/>
      <c r="P89" s="135"/>
    </row>
    <row r="90" spans="1:16" ht="13.5" customHeight="1" x14ac:dyDescent="0.25">
      <c r="A90" s="18">
        <v>65</v>
      </c>
      <c r="B90" s="48">
        <v>45707</v>
      </c>
      <c r="C90" s="128" t="s">
        <v>5</v>
      </c>
      <c r="D90" s="103" t="s">
        <v>189</v>
      </c>
      <c r="E90" s="24" t="s">
        <v>6</v>
      </c>
      <c r="F90" s="24" t="s">
        <v>7</v>
      </c>
      <c r="G90" s="24">
        <f>(41*5.5)</f>
        <v>225.5</v>
      </c>
      <c r="H90" s="128">
        <f>11+2</f>
        <v>13</v>
      </c>
      <c r="I90" s="128">
        <v>2</v>
      </c>
      <c r="J90" s="148"/>
      <c r="K90" s="149"/>
      <c r="L90" s="150"/>
      <c r="M90" s="21"/>
      <c r="O90" s="138"/>
      <c r="P90" s="135"/>
    </row>
    <row r="91" spans="1:16" ht="13.5" customHeight="1" x14ac:dyDescent="0.25">
      <c r="A91" s="18">
        <v>66</v>
      </c>
      <c r="B91" s="48">
        <v>45707</v>
      </c>
      <c r="C91" s="128" t="s">
        <v>5</v>
      </c>
      <c r="D91" s="103" t="s">
        <v>190</v>
      </c>
      <c r="E91" s="24" t="s">
        <v>6</v>
      </c>
      <c r="F91" s="24" t="s">
        <v>7</v>
      </c>
      <c r="G91" s="24">
        <f>(2*2.5*5)+(1*3.6*6)</f>
        <v>46.6</v>
      </c>
      <c r="H91" s="128">
        <f>2+1</f>
        <v>3</v>
      </c>
      <c r="I91" s="128">
        <v>1</v>
      </c>
      <c r="J91" s="148"/>
      <c r="K91" s="149"/>
      <c r="L91" s="150"/>
      <c r="M91" s="21"/>
      <c r="O91" s="138"/>
      <c r="P91" s="135"/>
    </row>
    <row r="92" spans="1:16" ht="13.5" customHeight="1" thickBot="1" x14ac:dyDescent="0.3">
      <c r="A92" s="32">
        <v>67</v>
      </c>
      <c r="B92" s="33">
        <v>45707</v>
      </c>
      <c r="C92" s="34" t="s">
        <v>5</v>
      </c>
      <c r="D92" s="104" t="s">
        <v>191</v>
      </c>
      <c r="E92" s="28" t="s">
        <v>6</v>
      </c>
      <c r="F92" s="28" t="s">
        <v>7</v>
      </c>
      <c r="G92" s="28">
        <f>41*4.3</f>
        <v>176.29999999999998</v>
      </c>
      <c r="H92" s="34">
        <f>6+1</f>
        <v>7</v>
      </c>
      <c r="I92" s="34">
        <v>1</v>
      </c>
      <c r="J92" s="148"/>
      <c r="K92" s="149"/>
      <c r="L92" s="150"/>
      <c r="M92" s="35"/>
      <c r="O92" s="138"/>
      <c r="P92" s="135"/>
    </row>
    <row r="93" spans="1:16" ht="13.5" customHeight="1" thickBot="1" x14ac:dyDescent="0.3">
      <c r="A93" s="151" t="s">
        <v>414</v>
      </c>
      <c r="B93" s="152"/>
      <c r="C93" s="152"/>
      <c r="D93" s="152"/>
      <c r="E93" s="152"/>
      <c r="F93" s="152"/>
      <c r="G93" s="12"/>
      <c r="H93" s="12"/>
      <c r="I93" s="12"/>
      <c r="J93" s="12"/>
      <c r="K93" s="12"/>
      <c r="L93" s="12"/>
      <c r="M93" s="13"/>
      <c r="O93" s="138"/>
      <c r="P93" s="135"/>
    </row>
    <row r="94" spans="1:16" ht="13.5" customHeight="1" x14ac:dyDescent="0.25">
      <c r="A94" s="14">
        <v>68</v>
      </c>
      <c r="B94" s="15">
        <v>45709</v>
      </c>
      <c r="C94" s="16" t="s">
        <v>5</v>
      </c>
      <c r="D94" s="45" t="s">
        <v>94</v>
      </c>
      <c r="E94" s="16" t="s">
        <v>6</v>
      </c>
      <c r="F94" s="16" t="s">
        <v>7</v>
      </c>
      <c r="G94" s="16">
        <f>(5*2.5*5)+(2*3.6*5)</f>
        <v>98.5</v>
      </c>
      <c r="H94" s="16">
        <f>5+2</f>
        <v>7</v>
      </c>
      <c r="I94" s="16">
        <v>2</v>
      </c>
      <c r="J94" s="145" t="s">
        <v>443</v>
      </c>
      <c r="K94" s="146"/>
      <c r="L94" s="147"/>
      <c r="M94" s="17"/>
      <c r="O94" s="138"/>
      <c r="P94" s="135"/>
    </row>
    <row r="95" spans="1:16" ht="13.5" customHeight="1" x14ac:dyDescent="0.25">
      <c r="A95" s="18">
        <v>69</v>
      </c>
      <c r="B95" s="19">
        <v>45709</v>
      </c>
      <c r="C95" s="128" t="s">
        <v>5</v>
      </c>
      <c r="D95" s="46" t="s">
        <v>93</v>
      </c>
      <c r="E95" s="128" t="s">
        <v>6</v>
      </c>
      <c r="F95" s="128" t="s">
        <v>7</v>
      </c>
      <c r="G95" s="51">
        <f>(33.5*((6+8+12)/3))</f>
        <v>290.33333333333331</v>
      </c>
      <c r="H95" s="128">
        <f>9+2</f>
        <v>11</v>
      </c>
      <c r="I95" s="128">
        <v>2</v>
      </c>
      <c r="J95" s="148"/>
      <c r="K95" s="149"/>
      <c r="L95" s="150"/>
      <c r="M95" s="21"/>
      <c r="O95" s="138"/>
      <c r="P95" s="135"/>
    </row>
    <row r="96" spans="1:16" ht="13.5" customHeight="1" thickBot="1" x14ac:dyDescent="0.3">
      <c r="A96" s="32">
        <v>70</v>
      </c>
      <c r="B96" s="33">
        <v>45709</v>
      </c>
      <c r="C96" s="34" t="s">
        <v>5</v>
      </c>
      <c r="D96" s="105" t="s">
        <v>92</v>
      </c>
      <c r="E96" s="34" t="s">
        <v>6</v>
      </c>
      <c r="F96" s="34" t="s">
        <v>7</v>
      </c>
      <c r="G96" s="131">
        <f>(9*2.5*8)+(1*4*8)</f>
        <v>212</v>
      </c>
      <c r="H96" s="34">
        <f>9+1</f>
        <v>10</v>
      </c>
      <c r="I96" s="34">
        <v>1</v>
      </c>
      <c r="J96" s="148"/>
      <c r="K96" s="149"/>
      <c r="L96" s="150"/>
      <c r="M96" s="35"/>
      <c r="O96" s="138"/>
      <c r="P96" s="135"/>
    </row>
    <row r="97" spans="1:16" ht="13.5" customHeight="1" thickBot="1" x14ac:dyDescent="0.3">
      <c r="A97" s="151" t="s">
        <v>415</v>
      </c>
      <c r="B97" s="152"/>
      <c r="C97" s="152"/>
      <c r="D97" s="152"/>
      <c r="E97" s="152"/>
      <c r="F97" s="152"/>
      <c r="G97" s="36"/>
      <c r="H97" s="36"/>
      <c r="I97" s="36"/>
      <c r="J97" s="177"/>
      <c r="K97" s="177"/>
      <c r="L97" s="177"/>
      <c r="M97" s="37"/>
      <c r="O97" s="138"/>
      <c r="P97" s="135"/>
    </row>
    <row r="98" spans="1:16" ht="21.75" customHeight="1" thickBot="1" x14ac:dyDescent="0.3">
      <c r="A98" s="32">
        <v>71</v>
      </c>
      <c r="B98" s="33">
        <v>45709</v>
      </c>
      <c r="C98" s="34" t="s">
        <v>5</v>
      </c>
      <c r="D98" s="105" t="s">
        <v>194</v>
      </c>
      <c r="E98" s="34" t="s">
        <v>6</v>
      </c>
      <c r="F98" s="34" t="s">
        <v>7</v>
      </c>
      <c r="G98" s="34">
        <f>2*9.5*2.8</f>
        <v>53.199999999999996</v>
      </c>
      <c r="H98" s="34">
        <f>1+1</f>
        <v>2</v>
      </c>
      <c r="I98" s="34">
        <v>1</v>
      </c>
      <c r="J98" s="148" t="s">
        <v>443</v>
      </c>
      <c r="K98" s="149"/>
      <c r="L98" s="150"/>
      <c r="M98" s="35"/>
      <c r="O98" s="138"/>
      <c r="P98" s="135"/>
    </row>
    <row r="99" spans="1:16" ht="13.5" customHeight="1" thickBot="1" x14ac:dyDescent="0.3">
      <c r="A99" s="151" t="s">
        <v>416</v>
      </c>
      <c r="B99" s="152"/>
      <c r="C99" s="152"/>
      <c r="D99" s="152"/>
      <c r="E99" s="152"/>
      <c r="F99" s="152"/>
      <c r="G99" s="36"/>
      <c r="H99" s="36"/>
      <c r="I99" s="36"/>
      <c r="J99" s="177"/>
      <c r="K99" s="177"/>
      <c r="L99" s="177"/>
      <c r="M99" s="37"/>
      <c r="O99" s="138"/>
      <c r="P99" s="135"/>
    </row>
    <row r="100" spans="1:16" ht="21.75" customHeight="1" thickBot="1" x14ac:dyDescent="0.3">
      <c r="A100" s="18">
        <v>72</v>
      </c>
      <c r="B100" s="19">
        <v>45709</v>
      </c>
      <c r="C100" s="128" t="s">
        <v>5</v>
      </c>
      <c r="D100" s="46" t="s">
        <v>457</v>
      </c>
      <c r="E100" s="128" t="s">
        <v>6</v>
      </c>
      <c r="F100" s="128" t="s">
        <v>7</v>
      </c>
      <c r="G100" s="52">
        <f>(2*2.5*6)+(1*4*6)</f>
        <v>54</v>
      </c>
      <c r="H100" s="128">
        <f>1+1</f>
        <v>2</v>
      </c>
      <c r="I100" s="128">
        <v>1</v>
      </c>
      <c r="J100" s="148" t="s">
        <v>443</v>
      </c>
      <c r="K100" s="149"/>
      <c r="L100" s="150"/>
      <c r="M100" s="21"/>
      <c r="O100" s="138"/>
      <c r="P100" s="135"/>
    </row>
    <row r="101" spans="1:16" ht="13.5" customHeight="1" thickBot="1" x14ac:dyDescent="0.3">
      <c r="A101" s="151" t="s">
        <v>417</v>
      </c>
      <c r="B101" s="152"/>
      <c r="C101" s="152"/>
      <c r="D101" s="152"/>
      <c r="E101" s="152"/>
      <c r="F101" s="152"/>
      <c r="G101" s="12"/>
      <c r="H101" s="12"/>
      <c r="I101" s="12"/>
      <c r="J101" s="12"/>
      <c r="K101" s="12"/>
      <c r="L101" s="12"/>
      <c r="M101" s="13"/>
      <c r="O101" s="138"/>
      <c r="P101" s="135"/>
    </row>
    <row r="102" spans="1:16" ht="13.5" customHeight="1" x14ac:dyDescent="0.25">
      <c r="A102" s="14">
        <v>73</v>
      </c>
      <c r="B102" s="15">
        <v>45712</v>
      </c>
      <c r="C102" s="16" t="s">
        <v>5</v>
      </c>
      <c r="D102" s="45" t="s">
        <v>192</v>
      </c>
      <c r="E102" s="16" t="s">
        <v>6</v>
      </c>
      <c r="F102" s="16" t="s">
        <v>7</v>
      </c>
      <c r="G102" s="47">
        <f>(5*2.8*(5+3))+(1*4*(6+2))</f>
        <v>144</v>
      </c>
      <c r="H102" s="16">
        <f>5+1</f>
        <v>6</v>
      </c>
      <c r="I102" s="16">
        <v>1</v>
      </c>
      <c r="J102" s="145" t="s">
        <v>443</v>
      </c>
      <c r="K102" s="146"/>
      <c r="L102" s="147"/>
      <c r="M102" s="17"/>
      <c r="O102" s="138"/>
      <c r="P102" s="135"/>
    </row>
    <row r="103" spans="1:16" ht="13.5" customHeight="1" thickBot="1" x14ac:dyDescent="0.3">
      <c r="A103" s="32">
        <v>74</v>
      </c>
      <c r="B103" s="19">
        <v>45712</v>
      </c>
      <c r="C103" s="128" t="s">
        <v>5</v>
      </c>
      <c r="D103" s="46" t="s">
        <v>193</v>
      </c>
      <c r="E103" s="128" t="s">
        <v>6</v>
      </c>
      <c r="F103" s="128" t="s">
        <v>7</v>
      </c>
      <c r="G103" s="24">
        <f>(4*2.5*(5+3.5))+(1*3*(6+2.5))</f>
        <v>110.5</v>
      </c>
      <c r="H103" s="128">
        <f>2+1</f>
        <v>3</v>
      </c>
      <c r="I103" s="128">
        <v>1</v>
      </c>
      <c r="J103" s="153"/>
      <c r="K103" s="154"/>
      <c r="L103" s="155"/>
      <c r="M103" s="35"/>
      <c r="O103" s="138"/>
      <c r="P103" s="135"/>
    </row>
    <row r="104" spans="1:16" ht="13.5" customHeight="1" thickBot="1" x14ac:dyDescent="0.3">
      <c r="A104" s="151" t="s">
        <v>418</v>
      </c>
      <c r="B104" s="152"/>
      <c r="C104" s="152"/>
      <c r="D104" s="152"/>
      <c r="E104" s="152"/>
      <c r="F104" s="152"/>
      <c r="G104" s="12"/>
      <c r="H104" s="12"/>
      <c r="I104" s="12"/>
      <c r="J104" s="12"/>
      <c r="K104" s="12"/>
      <c r="L104" s="12"/>
      <c r="M104" s="13"/>
      <c r="O104" s="138"/>
      <c r="P104" s="135"/>
    </row>
    <row r="105" spans="1:16" ht="13.5" customHeight="1" x14ac:dyDescent="0.25">
      <c r="A105" s="14">
        <v>75</v>
      </c>
      <c r="B105" s="15">
        <v>45712</v>
      </c>
      <c r="C105" s="16" t="s">
        <v>5</v>
      </c>
      <c r="D105" s="45" t="s">
        <v>195</v>
      </c>
      <c r="E105" s="16" t="s">
        <v>6</v>
      </c>
      <c r="F105" s="16" t="s">
        <v>7</v>
      </c>
      <c r="G105" s="53">
        <f>(37.5*5)</f>
        <v>187.5</v>
      </c>
      <c r="H105" s="16">
        <f>9+2</f>
        <v>11</v>
      </c>
      <c r="I105" s="16">
        <v>2</v>
      </c>
      <c r="J105" s="145" t="s">
        <v>443</v>
      </c>
      <c r="K105" s="146"/>
      <c r="L105" s="147"/>
      <c r="M105" s="17"/>
      <c r="O105" s="138"/>
      <c r="P105" s="135"/>
    </row>
    <row r="106" spans="1:16" ht="13.5" customHeight="1" x14ac:dyDescent="0.25">
      <c r="A106" s="18">
        <v>76</v>
      </c>
      <c r="B106" s="19">
        <v>45712</v>
      </c>
      <c r="C106" s="128" t="s">
        <v>5</v>
      </c>
      <c r="D106" s="46" t="s">
        <v>196</v>
      </c>
      <c r="E106" s="128" t="s">
        <v>6</v>
      </c>
      <c r="F106" s="128" t="s">
        <v>7</v>
      </c>
      <c r="G106" s="51">
        <f>(12*7)</f>
        <v>84</v>
      </c>
      <c r="H106" s="128">
        <f>3+1</f>
        <v>4</v>
      </c>
      <c r="I106" s="128">
        <v>1</v>
      </c>
      <c r="J106" s="148"/>
      <c r="K106" s="149"/>
      <c r="L106" s="150"/>
      <c r="M106" s="21"/>
      <c r="O106" s="138"/>
      <c r="P106" s="135"/>
    </row>
    <row r="107" spans="1:16" ht="13.5" customHeight="1" x14ac:dyDescent="0.25">
      <c r="A107" s="18">
        <v>77</v>
      </c>
      <c r="B107" s="19">
        <v>45712</v>
      </c>
      <c r="C107" s="128" t="s">
        <v>5</v>
      </c>
      <c r="D107" s="46" t="s">
        <v>91</v>
      </c>
      <c r="E107" s="128" t="s">
        <v>6</v>
      </c>
      <c r="F107" s="128" t="s">
        <v>7</v>
      </c>
      <c r="G107" s="52">
        <f>(34*5)</f>
        <v>170</v>
      </c>
      <c r="H107" s="128">
        <f>9+1</f>
        <v>10</v>
      </c>
      <c r="I107" s="128">
        <v>1</v>
      </c>
      <c r="J107" s="148"/>
      <c r="K107" s="149"/>
      <c r="L107" s="150"/>
      <c r="M107" s="21"/>
      <c r="O107" s="138"/>
      <c r="P107" s="135"/>
    </row>
    <row r="108" spans="1:16" ht="13.5" customHeight="1" thickBot="1" x14ac:dyDescent="0.3">
      <c r="A108" s="18">
        <v>78</v>
      </c>
      <c r="B108" s="19">
        <v>45712</v>
      </c>
      <c r="C108" s="128" t="s">
        <v>5</v>
      </c>
      <c r="D108" s="46" t="s">
        <v>67</v>
      </c>
      <c r="E108" s="128" t="s">
        <v>6</v>
      </c>
      <c r="F108" s="128" t="s">
        <v>7</v>
      </c>
      <c r="G108" s="52">
        <f>(42*5)</f>
        <v>210</v>
      </c>
      <c r="H108" s="128">
        <f>9+2</f>
        <v>11</v>
      </c>
      <c r="I108" s="128">
        <v>2</v>
      </c>
      <c r="J108" s="148"/>
      <c r="K108" s="149"/>
      <c r="L108" s="150"/>
      <c r="M108" s="21"/>
      <c r="O108" s="138"/>
      <c r="P108" s="135"/>
    </row>
    <row r="109" spans="1:16" ht="13.5" customHeight="1" thickBot="1" x14ac:dyDescent="0.3">
      <c r="A109" s="151" t="s">
        <v>419</v>
      </c>
      <c r="B109" s="152"/>
      <c r="C109" s="152"/>
      <c r="D109" s="152"/>
      <c r="E109" s="152"/>
      <c r="F109" s="152"/>
      <c r="G109" s="12"/>
      <c r="H109" s="12"/>
      <c r="I109" s="12"/>
      <c r="J109" s="12"/>
      <c r="K109" s="12"/>
      <c r="L109" s="12"/>
      <c r="M109" s="13"/>
      <c r="O109" s="138"/>
      <c r="P109" s="135"/>
    </row>
    <row r="110" spans="1:16" ht="13.5" customHeight="1" x14ac:dyDescent="0.25">
      <c r="A110" s="14">
        <v>79</v>
      </c>
      <c r="B110" s="15">
        <v>45714</v>
      </c>
      <c r="C110" s="16" t="s">
        <v>5</v>
      </c>
      <c r="D110" s="45" t="s">
        <v>110</v>
      </c>
      <c r="E110" s="16" t="s">
        <v>6</v>
      </c>
      <c r="F110" s="16" t="s">
        <v>7</v>
      </c>
      <c r="G110" s="53">
        <f>(8*2.8*5)+(1*4*6)</f>
        <v>136</v>
      </c>
      <c r="H110" s="16">
        <f>8+1</f>
        <v>9</v>
      </c>
      <c r="I110" s="16">
        <v>1</v>
      </c>
      <c r="J110" s="145" t="s">
        <v>443</v>
      </c>
      <c r="K110" s="146"/>
      <c r="L110" s="147"/>
      <c r="M110" s="17"/>
      <c r="O110" s="138"/>
      <c r="P110" s="135"/>
    </row>
    <row r="111" spans="1:16" ht="13.5" customHeight="1" x14ac:dyDescent="0.25">
      <c r="A111" s="18">
        <v>80</v>
      </c>
      <c r="B111" s="19">
        <v>45714</v>
      </c>
      <c r="C111" s="128" t="s">
        <v>5</v>
      </c>
      <c r="D111" s="46" t="s">
        <v>111</v>
      </c>
      <c r="E111" s="128" t="s">
        <v>6</v>
      </c>
      <c r="F111" s="128" t="s">
        <v>7</v>
      </c>
      <c r="G111" s="51">
        <f>(24*6)+(22*6)</f>
        <v>276</v>
      </c>
      <c r="H111" s="128">
        <f>8+2+2</f>
        <v>12</v>
      </c>
      <c r="I111" s="128">
        <v>2</v>
      </c>
      <c r="J111" s="148"/>
      <c r="K111" s="149"/>
      <c r="L111" s="150"/>
      <c r="M111" s="21"/>
      <c r="O111" s="138"/>
      <c r="P111" s="135"/>
    </row>
    <row r="112" spans="1:16" ht="13.5" customHeight="1" thickBot="1" x14ac:dyDescent="0.3">
      <c r="A112" s="32">
        <v>81</v>
      </c>
      <c r="B112" s="19">
        <v>45714</v>
      </c>
      <c r="C112" s="128" t="s">
        <v>5</v>
      </c>
      <c r="D112" s="46" t="s">
        <v>112</v>
      </c>
      <c r="E112" s="128" t="s">
        <v>6</v>
      </c>
      <c r="F112" s="128" t="s">
        <v>7</v>
      </c>
      <c r="G112" s="52">
        <f>(25*9)</f>
        <v>225</v>
      </c>
      <c r="H112" s="128">
        <f>7+1</f>
        <v>8</v>
      </c>
      <c r="I112" s="128">
        <v>1</v>
      </c>
      <c r="J112" s="153"/>
      <c r="K112" s="154"/>
      <c r="L112" s="155"/>
      <c r="M112" s="35"/>
      <c r="O112" s="138"/>
      <c r="P112" s="135"/>
    </row>
    <row r="113" spans="1:16" ht="13.5" customHeight="1" thickBot="1" x14ac:dyDescent="0.3">
      <c r="A113" s="151" t="s">
        <v>140</v>
      </c>
      <c r="B113" s="152"/>
      <c r="C113" s="152"/>
      <c r="D113" s="152"/>
      <c r="E113" s="152"/>
      <c r="F113" s="152"/>
      <c r="G113" s="36"/>
      <c r="H113" s="36"/>
      <c r="I113" s="36"/>
      <c r="J113" s="36"/>
      <c r="K113" s="36"/>
      <c r="L113" s="36"/>
      <c r="M113" s="37"/>
      <c r="O113" s="138"/>
      <c r="P113" s="135"/>
    </row>
    <row r="114" spans="1:16" ht="21.75" customHeight="1" thickBot="1" x14ac:dyDescent="0.3">
      <c r="A114" s="14">
        <v>82</v>
      </c>
      <c r="B114" s="15">
        <v>45714</v>
      </c>
      <c r="C114" s="16" t="s">
        <v>5</v>
      </c>
      <c r="D114" s="45" t="s">
        <v>141</v>
      </c>
      <c r="E114" s="16" t="s">
        <v>6</v>
      </c>
      <c r="F114" s="16" t="s">
        <v>7</v>
      </c>
      <c r="G114" s="16">
        <f>(5*2.6*4.4)+(2*4*4.4)+(7*2.6*4.5)</f>
        <v>174.3</v>
      </c>
      <c r="H114" s="16">
        <f>5+2+7</f>
        <v>14</v>
      </c>
      <c r="I114" s="16">
        <v>2</v>
      </c>
      <c r="J114" s="145" t="s">
        <v>443</v>
      </c>
      <c r="K114" s="146"/>
      <c r="L114" s="147"/>
      <c r="M114" s="17"/>
      <c r="O114" s="138"/>
      <c r="P114" s="135"/>
    </row>
    <row r="115" spans="1:16" ht="13.5" customHeight="1" thickBot="1" x14ac:dyDescent="0.3">
      <c r="A115" s="151" t="s">
        <v>420</v>
      </c>
      <c r="B115" s="152"/>
      <c r="C115" s="152"/>
      <c r="D115" s="152"/>
      <c r="E115" s="152"/>
      <c r="F115" s="152"/>
      <c r="G115" s="12"/>
      <c r="H115" s="12"/>
      <c r="I115" s="12"/>
      <c r="J115" s="12"/>
      <c r="K115" s="12"/>
      <c r="L115" s="12"/>
      <c r="M115" s="13"/>
      <c r="O115" s="138"/>
      <c r="P115" s="135"/>
    </row>
    <row r="116" spans="1:16" ht="13.5" customHeight="1" x14ac:dyDescent="0.25">
      <c r="A116" s="14">
        <v>83</v>
      </c>
      <c r="B116" s="15">
        <v>45719</v>
      </c>
      <c r="C116" s="16" t="s">
        <v>5</v>
      </c>
      <c r="D116" s="45" t="s">
        <v>72</v>
      </c>
      <c r="E116" s="16" t="s">
        <v>6</v>
      </c>
      <c r="F116" s="16" t="s">
        <v>7</v>
      </c>
      <c r="G116" s="16">
        <v>62.05</v>
      </c>
      <c r="H116" s="16">
        <v>2</v>
      </c>
      <c r="I116" s="16">
        <v>0</v>
      </c>
      <c r="J116" s="145" t="s">
        <v>443</v>
      </c>
      <c r="K116" s="146"/>
      <c r="L116" s="147"/>
      <c r="M116" s="17"/>
      <c r="O116" s="138"/>
      <c r="P116" s="135"/>
    </row>
    <row r="117" spans="1:16" ht="13.5" customHeight="1" x14ac:dyDescent="0.25">
      <c r="A117" s="18">
        <v>84</v>
      </c>
      <c r="B117" s="19">
        <v>45719</v>
      </c>
      <c r="C117" s="128" t="s">
        <v>5</v>
      </c>
      <c r="D117" s="46" t="s">
        <v>73</v>
      </c>
      <c r="E117" s="128" t="s">
        <v>6</v>
      </c>
      <c r="F117" s="128" t="s">
        <v>7</v>
      </c>
      <c r="G117" s="129">
        <v>95.26</v>
      </c>
      <c r="H117" s="128">
        <f>3+1</f>
        <v>4</v>
      </c>
      <c r="I117" s="128">
        <v>1</v>
      </c>
      <c r="J117" s="148"/>
      <c r="K117" s="149"/>
      <c r="L117" s="150"/>
      <c r="M117" s="21"/>
      <c r="O117" s="138"/>
      <c r="P117" s="135"/>
    </row>
    <row r="118" spans="1:16" ht="13.5" customHeight="1" x14ac:dyDescent="0.25">
      <c r="A118" s="42">
        <v>85</v>
      </c>
      <c r="B118" s="19">
        <v>45719</v>
      </c>
      <c r="C118" s="34" t="s">
        <v>5</v>
      </c>
      <c r="D118" s="105" t="s">
        <v>452</v>
      </c>
      <c r="E118" s="34" t="s">
        <v>6</v>
      </c>
      <c r="F118" s="34" t="s">
        <v>7</v>
      </c>
      <c r="G118" s="34">
        <f>63.5*4.1</f>
        <v>260.34999999999997</v>
      </c>
      <c r="H118" s="34">
        <f>9+2</f>
        <v>11</v>
      </c>
      <c r="I118" s="34">
        <v>2</v>
      </c>
      <c r="J118" s="148"/>
      <c r="K118" s="149"/>
      <c r="L118" s="150"/>
      <c r="M118" s="21"/>
      <c r="O118" s="138"/>
      <c r="P118" s="135"/>
    </row>
    <row r="119" spans="1:16" ht="13.5" customHeight="1" x14ac:dyDescent="0.25">
      <c r="A119" s="18">
        <v>86</v>
      </c>
      <c r="B119" s="19">
        <v>45719</v>
      </c>
      <c r="C119" s="129" t="s">
        <v>5</v>
      </c>
      <c r="D119" s="107" t="s">
        <v>74</v>
      </c>
      <c r="E119" s="129" t="s">
        <v>6</v>
      </c>
      <c r="F119" s="129" t="s">
        <v>7</v>
      </c>
      <c r="G119" s="54">
        <f>(129*2.5)+(129*3.5)+(13*4)+(14*4)</f>
        <v>882</v>
      </c>
      <c r="H119" s="129">
        <f>17+2</f>
        <v>19</v>
      </c>
      <c r="I119" s="129">
        <v>2</v>
      </c>
      <c r="J119" s="149"/>
      <c r="K119" s="149"/>
      <c r="L119" s="150"/>
      <c r="M119" s="21"/>
      <c r="O119" s="138"/>
      <c r="P119" s="135"/>
    </row>
    <row r="120" spans="1:16" ht="13.5" customHeight="1" x14ac:dyDescent="0.25">
      <c r="A120" s="18">
        <v>87</v>
      </c>
      <c r="B120" s="19">
        <v>45719</v>
      </c>
      <c r="C120" s="129" t="s">
        <v>5</v>
      </c>
      <c r="D120" s="107" t="s">
        <v>75</v>
      </c>
      <c r="E120" s="129" t="s">
        <v>6</v>
      </c>
      <c r="F120" s="129" t="s">
        <v>7</v>
      </c>
      <c r="G120" s="49">
        <f>(67*8)+(7*4)+(8*1.6)</f>
        <v>576.79999999999995</v>
      </c>
      <c r="H120" s="129">
        <f>17+2</f>
        <v>19</v>
      </c>
      <c r="I120" s="129">
        <v>2</v>
      </c>
      <c r="J120" s="149"/>
      <c r="K120" s="149"/>
      <c r="L120" s="150"/>
      <c r="M120" s="21"/>
      <c r="O120" s="138"/>
      <c r="P120" s="135"/>
    </row>
    <row r="121" spans="1:16" ht="13.5" customHeight="1" x14ac:dyDescent="0.25">
      <c r="A121" s="42">
        <v>88</v>
      </c>
      <c r="B121" s="19">
        <v>45719</v>
      </c>
      <c r="C121" s="129" t="s">
        <v>5</v>
      </c>
      <c r="D121" s="107" t="s">
        <v>76</v>
      </c>
      <c r="E121" s="129" t="s">
        <v>6</v>
      </c>
      <c r="F121" s="129" t="s">
        <v>7</v>
      </c>
      <c r="G121" s="49">
        <f>(120*6.5)+(21*4.1)+(14*4.1)</f>
        <v>923.5</v>
      </c>
      <c r="H121" s="129">
        <f>16+2</f>
        <v>18</v>
      </c>
      <c r="I121" s="129">
        <v>2</v>
      </c>
      <c r="J121" s="149"/>
      <c r="K121" s="149"/>
      <c r="L121" s="150"/>
      <c r="M121" s="21"/>
      <c r="O121" s="138"/>
      <c r="P121" s="135"/>
    </row>
    <row r="122" spans="1:16" ht="13.5" customHeight="1" x14ac:dyDescent="0.25">
      <c r="A122" s="18">
        <v>89</v>
      </c>
      <c r="B122" s="19">
        <v>45719</v>
      </c>
      <c r="C122" s="129" t="s">
        <v>5</v>
      </c>
      <c r="D122" s="107" t="s">
        <v>77</v>
      </c>
      <c r="E122" s="129" t="s">
        <v>6</v>
      </c>
      <c r="F122" s="129" t="s">
        <v>7</v>
      </c>
      <c r="G122" s="55">
        <f>(62*8)+(11*2)</f>
        <v>518</v>
      </c>
      <c r="H122" s="129">
        <f>15+2</f>
        <v>17</v>
      </c>
      <c r="I122" s="129">
        <v>2</v>
      </c>
      <c r="J122" s="149"/>
      <c r="K122" s="149"/>
      <c r="L122" s="150"/>
      <c r="M122" s="21"/>
      <c r="O122" s="138"/>
      <c r="P122" s="135"/>
    </row>
    <row r="123" spans="1:16" ht="13.5" customHeight="1" x14ac:dyDescent="0.25">
      <c r="A123" s="18">
        <v>90</v>
      </c>
      <c r="B123" s="19">
        <v>45719</v>
      </c>
      <c r="C123" s="129" t="s">
        <v>5</v>
      </c>
      <c r="D123" s="107" t="s">
        <v>78</v>
      </c>
      <c r="E123" s="129" t="s">
        <v>6</v>
      </c>
      <c r="F123" s="129" t="s">
        <v>7</v>
      </c>
      <c r="G123" s="55">
        <f>(78*10)</f>
        <v>780</v>
      </c>
      <c r="H123" s="129">
        <f>19+3</f>
        <v>22</v>
      </c>
      <c r="I123" s="129">
        <v>3</v>
      </c>
      <c r="J123" s="149"/>
      <c r="K123" s="149"/>
      <c r="L123" s="150"/>
      <c r="M123" s="21"/>
      <c r="O123" s="138"/>
      <c r="P123" s="135"/>
    </row>
    <row r="124" spans="1:16" ht="13.5" customHeight="1" x14ac:dyDescent="0.25">
      <c r="A124" s="42">
        <v>91</v>
      </c>
      <c r="B124" s="19">
        <v>45719</v>
      </c>
      <c r="C124" s="129" t="s">
        <v>5</v>
      </c>
      <c r="D124" s="107" t="s">
        <v>79</v>
      </c>
      <c r="E124" s="129" t="s">
        <v>6</v>
      </c>
      <c r="F124" s="129" t="s">
        <v>7</v>
      </c>
      <c r="G124" s="55">
        <f>((4*7.5*3.3)+(1*7.5*3.6))+((4*7.5*3.3)+(1*7.5*3.6))+((4*7.5*3.3)+(1*7.5*3.6))</f>
        <v>378</v>
      </c>
      <c r="H124" s="129">
        <f>4+1+5+1+5</f>
        <v>16</v>
      </c>
      <c r="I124" s="129">
        <v>2</v>
      </c>
      <c r="J124" s="149"/>
      <c r="K124" s="149"/>
      <c r="L124" s="150"/>
      <c r="M124" s="21"/>
      <c r="O124" s="138"/>
      <c r="P124" s="135"/>
    </row>
    <row r="125" spans="1:16" ht="13.5" customHeight="1" x14ac:dyDescent="0.25">
      <c r="A125" s="18">
        <v>92</v>
      </c>
      <c r="B125" s="19">
        <v>45719</v>
      </c>
      <c r="C125" s="129" t="s">
        <v>5</v>
      </c>
      <c r="D125" s="107" t="s">
        <v>80</v>
      </c>
      <c r="E125" s="129" t="s">
        <v>6</v>
      </c>
      <c r="F125" s="129" t="s">
        <v>7</v>
      </c>
      <c r="G125" s="55">
        <f>76*9</f>
        <v>684</v>
      </c>
      <c r="H125" s="129">
        <f>19+3</f>
        <v>22</v>
      </c>
      <c r="I125" s="129">
        <v>3</v>
      </c>
      <c r="J125" s="149"/>
      <c r="K125" s="149"/>
      <c r="L125" s="150"/>
      <c r="M125" s="21"/>
      <c r="O125" s="138"/>
      <c r="P125" s="135"/>
    </row>
    <row r="126" spans="1:16" ht="13.5" customHeight="1" x14ac:dyDescent="0.25">
      <c r="A126" s="18">
        <v>93</v>
      </c>
      <c r="B126" s="19">
        <v>45719</v>
      </c>
      <c r="C126" s="129" t="s">
        <v>5</v>
      </c>
      <c r="D126" s="107" t="s">
        <v>81</v>
      </c>
      <c r="E126" s="129" t="s">
        <v>6</v>
      </c>
      <c r="F126" s="129" t="s">
        <v>7</v>
      </c>
      <c r="G126" s="49">
        <f>84*8</f>
        <v>672</v>
      </c>
      <c r="H126" s="129">
        <f>22+3</f>
        <v>25</v>
      </c>
      <c r="I126" s="129">
        <v>3</v>
      </c>
      <c r="J126" s="149"/>
      <c r="K126" s="149"/>
      <c r="L126" s="150"/>
      <c r="M126" s="21"/>
      <c r="O126" s="138"/>
      <c r="P126" s="135"/>
    </row>
    <row r="127" spans="1:16" ht="13.5" customHeight="1" x14ac:dyDescent="0.25">
      <c r="A127" s="42">
        <v>94</v>
      </c>
      <c r="B127" s="19">
        <v>45719</v>
      </c>
      <c r="C127" s="129" t="s">
        <v>5</v>
      </c>
      <c r="D127" s="106" t="s">
        <v>82</v>
      </c>
      <c r="E127" s="49" t="s">
        <v>6</v>
      </c>
      <c r="F127" s="49" t="s">
        <v>7</v>
      </c>
      <c r="G127" s="49">
        <f>(130*6)+73.4+95+71</f>
        <v>1019.4</v>
      </c>
      <c r="H127" s="49">
        <f>5+2+8</f>
        <v>15</v>
      </c>
      <c r="I127" s="49">
        <v>2</v>
      </c>
      <c r="J127" s="149"/>
      <c r="K127" s="149"/>
      <c r="L127" s="150"/>
      <c r="M127" s="21"/>
      <c r="O127" s="138"/>
      <c r="P127" s="135"/>
    </row>
    <row r="128" spans="1:16" ht="13.5" customHeight="1" x14ac:dyDescent="0.25">
      <c r="A128" s="18">
        <v>95</v>
      </c>
      <c r="B128" s="19">
        <v>45719</v>
      </c>
      <c r="C128" s="128" t="s">
        <v>5</v>
      </c>
      <c r="D128" s="46" t="s">
        <v>454</v>
      </c>
      <c r="E128" s="24" t="s">
        <v>6</v>
      </c>
      <c r="F128" s="24" t="s">
        <v>7</v>
      </c>
      <c r="G128" s="40">
        <f>(47*17)+67</f>
        <v>866</v>
      </c>
      <c r="H128" s="24">
        <f>11+2</f>
        <v>13</v>
      </c>
      <c r="I128" s="24">
        <v>2</v>
      </c>
      <c r="J128" s="149"/>
      <c r="K128" s="149"/>
      <c r="L128" s="150"/>
      <c r="M128" s="21"/>
      <c r="O128" s="138"/>
      <c r="P128" s="135"/>
    </row>
    <row r="129" spans="1:16" ht="13.5" customHeight="1" x14ac:dyDescent="0.25">
      <c r="A129" s="18">
        <v>96</v>
      </c>
      <c r="B129" s="19">
        <v>45719</v>
      </c>
      <c r="C129" s="128" t="s">
        <v>5</v>
      </c>
      <c r="D129" s="46" t="s">
        <v>83</v>
      </c>
      <c r="E129" s="24" t="s">
        <v>6</v>
      </c>
      <c r="F129" s="24" t="s">
        <v>7</v>
      </c>
      <c r="G129" s="24">
        <v>135.16999999999999</v>
      </c>
      <c r="H129" s="24">
        <f>6+1</f>
        <v>7</v>
      </c>
      <c r="I129" s="24">
        <v>1</v>
      </c>
      <c r="J129" s="149"/>
      <c r="K129" s="149"/>
      <c r="L129" s="150"/>
      <c r="M129" s="21"/>
      <c r="O129" s="138"/>
      <c r="P129" s="135"/>
    </row>
    <row r="130" spans="1:16" ht="13.5" customHeight="1" x14ac:dyDescent="0.25">
      <c r="A130" s="42">
        <v>97</v>
      </c>
      <c r="B130" s="19">
        <v>45719</v>
      </c>
      <c r="C130" s="128" t="s">
        <v>5</v>
      </c>
      <c r="D130" s="46" t="s">
        <v>84</v>
      </c>
      <c r="E130" s="24" t="s">
        <v>6</v>
      </c>
      <c r="F130" s="24" t="s">
        <v>7</v>
      </c>
      <c r="G130" s="24">
        <v>115.47</v>
      </c>
      <c r="H130" s="24">
        <f>4+1</f>
        <v>5</v>
      </c>
      <c r="I130" s="24">
        <v>1</v>
      </c>
      <c r="J130" s="148"/>
      <c r="K130" s="149"/>
      <c r="L130" s="150"/>
      <c r="M130" s="21"/>
      <c r="O130" s="138"/>
      <c r="P130" s="135"/>
    </row>
    <row r="131" spans="1:16" ht="13.5" customHeight="1" x14ac:dyDescent="0.25">
      <c r="A131" s="18">
        <v>98</v>
      </c>
      <c r="B131" s="19">
        <v>45719</v>
      </c>
      <c r="C131" s="128" t="s">
        <v>5</v>
      </c>
      <c r="D131" s="46" t="s">
        <v>85</v>
      </c>
      <c r="E131" s="24" t="s">
        <v>6</v>
      </c>
      <c r="F131" s="24" t="s">
        <v>7</v>
      </c>
      <c r="G131" s="24">
        <v>106.49</v>
      </c>
      <c r="H131" s="24">
        <f>3+1</f>
        <v>4</v>
      </c>
      <c r="I131" s="24">
        <v>1</v>
      </c>
      <c r="J131" s="148"/>
      <c r="K131" s="149"/>
      <c r="L131" s="150"/>
      <c r="M131" s="21"/>
      <c r="O131" s="138"/>
      <c r="P131" s="135"/>
    </row>
    <row r="132" spans="1:16" ht="13.5" customHeight="1" x14ac:dyDescent="0.25">
      <c r="A132" s="18">
        <v>99</v>
      </c>
      <c r="B132" s="19">
        <v>45719</v>
      </c>
      <c r="C132" s="128" t="s">
        <v>5</v>
      </c>
      <c r="D132" s="46" t="s">
        <v>86</v>
      </c>
      <c r="E132" s="24" t="s">
        <v>6</v>
      </c>
      <c r="F132" s="24" t="s">
        <v>7</v>
      </c>
      <c r="G132" s="24">
        <v>92.26</v>
      </c>
      <c r="H132" s="24">
        <f>2+1</f>
        <v>3</v>
      </c>
      <c r="I132" s="24">
        <v>1</v>
      </c>
      <c r="J132" s="148"/>
      <c r="K132" s="149"/>
      <c r="L132" s="150"/>
      <c r="M132" s="21"/>
      <c r="O132" s="138"/>
      <c r="P132" s="135"/>
    </row>
    <row r="133" spans="1:16" ht="13.5" customHeight="1" x14ac:dyDescent="0.25">
      <c r="A133" s="42">
        <v>100</v>
      </c>
      <c r="B133" s="19">
        <v>45719</v>
      </c>
      <c r="C133" s="128" t="s">
        <v>5</v>
      </c>
      <c r="D133" s="46" t="s">
        <v>87</v>
      </c>
      <c r="E133" s="24" t="s">
        <v>6</v>
      </c>
      <c r="F133" s="24" t="s">
        <v>7</v>
      </c>
      <c r="G133" s="24">
        <v>109.14</v>
      </c>
      <c r="H133" s="24">
        <v>3</v>
      </c>
      <c r="I133" s="24">
        <v>1</v>
      </c>
      <c r="J133" s="148"/>
      <c r="K133" s="149"/>
      <c r="L133" s="150"/>
      <c r="M133" s="21"/>
      <c r="O133" s="138"/>
      <c r="P133" s="135"/>
    </row>
    <row r="134" spans="1:16" ht="13.5" customHeight="1" x14ac:dyDescent="0.25">
      <c r="A134" s="18">
        <v>101</v>
      </c>
      <c r="B134" s="19">
        <v>45719</v>
      </c>
      <c r="C134" s="128" t="s">
        <v>5</v>
      </c>
      <c r="D134" s="46" t="s">
        <v>87</v>
      </c>
      <c r="E134" s="24" t="s">
        <v>6</v>
      </c>
      <c r="F134" s="24" t="s">
        <v>7</v>
      </c>
      <c r="G134" s="24">
        <v>114.7</v>
      </c>
      <c r="H134" s="24">
        <f>3+1</f>
        <v>4</v>
      </c>
      <c r="I134" s="24">
        <v>1</v>
      </c>
      <c r="J134" s="148"/>
      <c r="K134" s="149"/>
      <c r="L134" s="150"/>
      <c r="M134" s="21"/>
      <c r="O134" s="138"/>
      <c r="P134" s="135"/>
    </row>
    <row r="135" spans="1:16" ht="13.5" customHeight="1" x14ac:dyDescent="0.25">
      <c r="A135" s="18">
        <v>102</v>
      </c>
      <c r="B135" s="19">
        <v>45719</v>
      </c>
      <c r="C135" s="128" t="s">
        <v>5</v>
      </c>
      <c r="D135" s="46" t="s">
        <v>88</v>
      </c>
      <c r="E135" s="24" t="s">
        <v>6</v>
      </c>
      <c r="F135" s="24" t="s">
        <v>7</v>
      </c>
      <c r="G135" s="24">
        <v>272.32</v>
      </c>
      <c r="H135" s="24">
        <f>10+2</f>
        <v>12</v>
      </c>
      <c r="I135" s="24">
        <v>2</v>
      </c>
      <c r="J135" s="148"/>
      <c r="K135" s="149"/>
      <c r="L135" s="150"/>
      <c r="M135" s="56"/>
      <c r="O135" s="138"/>
      <c r="P135" s="135"/>
    </row>
    <row r="136" spans="1:16" ht="13.5" customHeight="1" x14ac:dyDescent="0.25">
      <c r="A136" s="42">
        <v>103</v>
      </c>
      <c r="B136" s="19">
        <v>45719</v>
      </c>
      <c r="C136" s="128" t="s">
        <v>5</v>
      </c>
      <c r="D136" s="103" t="s">
        <v>89</v>
      </c>
      <c r="E136" s="24" t="s">
        <v>6</v>
      </c>
      <c r="F136" s="24" t="s">
        <v>7</v>
      </c>
      <c r="G136" s="49">
        <v>190.29</v>
      </c>
      <c r="H136" s="49">
        <f>11+2</f>
        <v>13</v>
      </c>
      <c r="I136" s="49">
        <v>2</v>
      </c>
      <c r="J136" s="148"/>
      <c r="K136" s="149"/>
      <c r="L136" s="150"/>
      <c r="M136" s="57"/>
      <c r="O136" s="138"/>
      <c r="P136" s="135"/>
    </row>
    <row r="137" spans="1:16" ht="13.5" customHeight="1" thickBot="1" x14ac:dyDescent="0.3">
      <c r="A137" s="18">
        <v>104</v>
      </c>
      <c r="B137" s="58">
        <v>45719</v>
      </c>
      <c r="C137" s="130" t="s">
        <v>5</v>
      </c>
      <c r="D137" s="108" t="s">
        <v>90</v>
      </c>
      <c r="E137" s="130" t="s">
        <v>6</v>
      </c>
      <c r="F137" s="130" t="s">
        <v>7</v>
      </c>
      <c r="G137" s="130">
        <v>115.7</v>
      </c>
      <c r="H137" s="130">
        <f>2+1</f>
        <v>3</v>
      </c>
      <c r="I137" s="130">
        <v>1</v>
      </c>
      <c r="J137" s="153"/>
      <c r="K137" s="154"/>
      <c r="L137" s="155"/>
      <c r="M137" s="60"/>
      <c r="O137" s="138"/>
      <c r="P137" s="135"/>
    </row>
    <row r="138" spans="1:16" ht="13.5" customHeight="1" thickBot="1" x14ac:dyDescent="0.3">
      <c r="A138" s="151" t="s">
        <v>473</v>
      </c>
      <c r="B138" s="152"/>
      <c r="C138" s="152"/>
      <c r="D138" s="152"/>
      <c r="E138" s="152"/>
      <c r="F138" s="152"/>
      <c r="G138" s="36"/>
      <c r="H138" s="36"/>
      <c r="I138" s="36"/>
      <c r="J138" s="36"/>
      <c r="K138" s="36"/>
      <c r="L138" s="36"/>
      <c r="M138" s="37"/>
      <c r="O138" s="138"/>
      <c r="P138" s="135"/>
    </row>
    <row r="139" spans="1:16" ht="13.5" customHeight="1" x14ac:dyDescent="0.25">
      <c r="A139" s="61">
        <v>105</v>
      </c>
      <c r="B139" s="15">
        <v>45721</v>
      </c>
      <c r="C139" s="16" t="s">
        <v>5</v>
      </c>
      <c r="D139" s="45" t="s">
        <v>449</v>
      </c>
      <c r="E139" s="16" t="s">
        <v>6</v>
      </c>
      <c r="F139" s="16" t="s">
        <v>7</v>
      </c>
      <c r="G139" s="16">
        <f>(((4+5.4)/2)*21)+(77*7)</f>
        <v>637.70000000000005</v>
      </c>
      <c r="H139" s="16">
        <f>3+24+4</f>
        <v>31</v>
      </c>
      <c r="I139" s="16">
        <v>4</v>
      </c>
      <c r="J139" s="145" t="s">
        <v>443</v>
      </c>
      <c r="K139" s="146"/>
      <c r="L139" s="147"/>
      <c r="M139" s="17"/>
      <c r="O139" s="138"/>
      <c r="P139" s="135"/>
    </row>
    <row r="140" spans="1:16" ht="13.5" customHeight="1" x14ac:dyDescent="0.25">
      <c r="A140" s="18">
        <v>106</v>
      </c>
      <c r="B140" s="19">
        <v>45721</v>
      </c>
      <c r="C140" s="128" t="s">
        <v>5</v>
      </c>
      <c r="D140" s="46" t="s">
        <v>450</v>
      </c>
      <c r="E140" s="128" t="s">
        <v>6</v>
      </c>
      <c r="F140" s="128" t="s">
        <v>7</v>
      </c>
      <c r="G140" s="43">
        <f>23*8.5</f>
        <v>195.5</v>
      </c>
      <c r="H140" s="128">
        <f>7+1</f>
        <v>8</v>
      </c>
      <c r="I140" s="128">
        <v>1</v>
      </c>
      <c r="J140" s="148"/>
      <c r="K140" s="149"/>
      <c r="L140" s="150"/>
      <c r="M140" s="21"/>
      <c r="O140" s="138"/>
      <c r="P140" s="135"/>
    </row>
    <row r="141" spans="1:16" ht="13.5" customHeight="1" thickBot="1" x14ac:dyDescent="0.3">
      <c r="A141" s="32">
        <v>107</v>
      </c>
      <c r="B141" s="19">
        <v>45721</v>
      </c>
      <c r="C141" s="128" t="s">
        <v>5</v>
      </c>
      <c r="D141" s="46" t="s">
        <v>451</v>
      </c>
      <c r="E141" s="128" t="s">
        <v>6</v>
      </c>
      <c r="F141" s="128" t="s">
        <v>7</v>
      </c>
      <c r="G141" s="128">
        <f>(13*2.5*6)+(2*3.6*6)</f>
        <v>238.2</v>
      </c>
      <c r="H141" s="128">
        <f>13+2</f>
        <v>15</v>
      </c>
      <c r="I141" s="128">
        <v>2</v>
      </c>
      <c r="J141" s="153"/>
      <c r="K141" s="154"/>
      <c r="L141" s="155"/>
      <c r="M141" s="35"/>
      <c r="O141" s="138"/>
      <c r="P141" s="135"/>
    </row>
    <row r="142" spans="1:16" ht="13.5" customHeight="1" thickBot="1" x14ac:dyDescent="0.3">
      <c r="A142" s="151" t="s">
        <v>421</v>
      </c>
      <c r="B142" s="152"/>
      <c r="C142" s="152"/>
      <c r="D142" s="152"/>
      <c r="E142" s="152"/>
      <c r="F142" s="152"/>
      <c r="G142" s="12"/>
      <c r="H142" s="12"/>
      <c r="I142" s="12"/>
      <c r="J142" s="12"/>
      <c r="K142" s="12"/>
      <c r="L142" s="12"/>
      <c r="M142" s="13"/>
      <c r="O142" s="138"/>
      <c r="P142" s="135"/>
    </row>
    <row r="143" spans="1:16" ht="13.5" customHeight="1" x14ac:dyDescent="0.25">
      <c r="A143" s="61">
        <v>108</v>
      </c>
      <c r="B143" s="15">
        <v>45723</v>
      </c>
      <c r="C143" s="16" t="s">
        <v>5</v>
      </c>
      <c r="D143" s="45" t="s">
        <v>197</v>
      </c>
      <c r="E143" s="16" t="s">
        <v>6</v>
      </c>
      <c r="F143" s="16" t="s">
        <v>7</v>
      </c>
      <c r="G143" s="41">
        <f>((19+25)/2)*10</f>
        <v>220</v>
      </c>
      <c r="H143" s="16">
        <f>6+1</f>
        <v>7</v>
      </c>
      <c r="I143" s="16">
        <v>1</v>
      </c>
      <c r="J143" s="145" t="s">
        <v>443</v>
      </c>
      <c r="K143" s="146"/>
      <c r="L143" s="147"/>
      <c r="M143" s="17"/>
      <c r="O143" s="138"/>
      <c r="P143" s="135"/>
    </row>
    <row r="144" spans="1:16" ht="13.5" customHeight="1" x14ac:dyDescent="0.25">
      <c r="A144" s="18">
        <v>109</v>
      </c>
      <c r="B144" s="19">
        <v>45723</v>
      </c>
      <c r="C144" s="128" t="s">
        <v>5</v>
      </c>
      <c r="D144" s="46" t="s">
        <v>199</v>
      </c>
      <c r="E144" s="128" t="s">
        <v>6</v>
      </c>
      <c r="F144" s="128" t="s">
        <v>7</v>
      </c>
      <c r="G144" s="129">
        <f>2*7.5*2.5</f>
        <v>37.5</v>
      </c>
      <c r="H144" s="128">
        <f>1+1</f>
        <v>2</v>
      </c>
      <c r="I144" s="128">
        <v>1</v>
      </c>
      <c r="J144" s="148"/>
      <c r="K144" s="149"/>
      <c r="L144" s="150"/>
      <c r="M144" s="21"/>
      <c r="O144" s="138"/>
      <c r="P144" s="135"/>
    </row>
    <row r="145" spans="1:16" ht="13.5" customHeight="1" thickBot="1" x14ac:dyDescent="0.3">
      <c r="A145" s="32">
        <v>110</v>
      </c>
      <c r="B145" s="19">
        <v>45723</v>
      </c>
      <c r="C145" s="128" t="s">
        <v>5</v>
      </c>
      <c r="D145" s="46" t="s">
        <v>198</v>
      </c>
      <c r="E145" s="128" t="s">
        <v>6</v>
      </c>
      <c r="F145" s="128" t="s">
        <v>7</v>
      </c>
      <c r="G145" s="128">
        <f>8*7.65*3</f>
        <v>183.60000000000002</v>
      </c>
      <c r="H145" s="128">
        <f>7+1</f>
        <v>8</v>
      </c>
      <c r="I145" s="128">
        <v>1</v>
      </c>
      <c r="J145" s="153"/>
      <c r="K145" s="154"/>
      <c r="L145" s="155"/>
      <c r="M145" s="35"/>
      <c r="O145" s="138"/>
      <c r="P145" s="135"/>
    </row>
    <row r="146" spans="1:16" ht="13.5" customHeight="1" thickBot="1" x14ac:dyDescent="0.3">
      <c r="A146" s="151" t="s">
        <v>422</v>
      </c>
      <c r="B146" s="152"/>
      <c r="C146" s="152"/>
      <c r="D146" s="152"/>
      <c r="E146" s="152"/>
      <c r="F146" s="152"/>
      <c r="G146" s="12"/>
      <c r="H146" s="12"/>
      <c r="I146" s="12"/>
      <c r="J146" s="12"/>
      <c r="K146" s="12"/>
      <c r="L146" s="12"/>
      <c r="M146" s="13"/>
      <c r="O146" s="138"/>
      <c r="P146" s="135"/>
    </row>
    <row r="147" spans="1:16" ht="13.5" customHeight="1" x14ac:dyDescent="0.25">
      <c r="A147" s="14">
        <v>111</v>
      </c>
      <c r="B147" s="15">
        <v>45723</v>
      </c>
      <c r="C147" s="16" t="s">
        <v>5</v>
      </c>
      <c r="D147" s="45" t="s">
        <v>200</v>
      </c>
      <c r="E147" s="16" t="s">
        <v>6</v>
      </c>
      <c r="F147" s="16" t="s">
        <v>7</v>
      </c>
      <c r="G147" s="41">
        <f>(30*7.1)</f>
        <v>213</v>
      </c>
      <c r="H147" s="16">
        <f>9+1</f>
        <v>10</v>
      </c>
      <c r="I147" s="16">
        <v>1</v>
      </c>
      <c r="J147" s="145" t="s">
        <v>443</v>
      </c>
      <c r="K147" s="146"/>
      <c r="L147" s="147"/>
      <c r="M147" s="17"/>
      <c r="O147" s="138"/>
      <c r="P147" s="135"/>
    </row>
    <row r="148" spans="1:16" ht="13.5" customHeight="1" thickBot="1" x14ac:dyDescent="0.3">
      <c r="A148" s="18">
        <v>112</v>
      </c>
      <c r="B148" s="19">
        <v>45723</v>
      </c>
      <c r="C148" s="128" t="s">
        <v>5</v>
      </c>
      <c r="D148" s="46" t="s">
        <v>201</v>
      </c>
      <c r="E148" s="128" t="s">
        <v>6</v>
      </c>
      <c r="F148" s="128" t="s">
        <v>7</v>
      </c>
      <c r="G148" s="54">
        <f>(23*4)</f>
        <v>92</v>
      </c>
      <c r="H148" s="24">
        <f>6+1</f>
        <v>7</v>
      </c>
      <c r="I148" s="24">
        <v>1</v>
      </c>
      <c r="J148" s="148"/>
      <c r="K148" s="149"/>
      <c r="L148" s="150"/>
      <c r="M148" s="21"/>
      <c r="O148" s="138"/>
      <c r="P148" s="135"/>
    </row>
    <row r="149" spans="1:16" ht="13.5" customHeight="1" thickBot="1" x14ac:dyDescent="0.3">
      <c r="A149" s="151" t="s">
        <v>423</v>
      </c>
      <c r="B149" s="152"/>
      <c r="C149" s="152"/>
      <c r="D149" s="152"/>
      <c r="E149" s="152"/>
      <c r="F149" s="152"/>
      <c r="G149" s="12"/>
      <c r="H149" s="12"/>
      <c r="I149" s="12"/>
      <c r="J149" s="12"/>
      <c r="K149" s="12"/>
      <c r="L149" s="12"/>
      <c r="M149" s="13"/>
      <c r="O149" s="138"/>
      <c r="P149" s="135"/>
    </row>
    <row r="150" spans="1:16" ht="21.75" customHeight="1" thickBot="1" x14ac:dyDescent="0.3">
      <c r="A150" s="14">
        <v>113</v>
      </c>
      <c r="B150" s="15">
        <v>45726</v>
      </c>
      <c r="C150" s="16" t="s">
        <v>5</v>
      </c>
      <c r="D150" s="45" t="s">
        <v>202</v>
      </c>
      <c r="E150" s="16" t="s">
        <v>6</v>
      </c>
      <c r="F150" s="16" t="s">
        <v>7</v>
      </c>
      <c r="G150" s="16">
        <f>21*2.5</f>
        <v>52.5</v>
      </c>
      <c r="H150" s="16">
        <f>1+1</f>
        <v>2</v>
      </c>
      <c r="I150" s="16">
        <v>1</v>
      </c>
      <c r="J150" s="145" t="s">
        <v>443</v>
      </c>
      <c r="K150" s="146"/>
      <c r="L150" s="147"/>
      <c r="M150" s="17"/>
      <c r="O150" s="138"/>
      <c r="P150" s="135"/>
    </row>
    <row r="151" spans="1:16" ht="13.5" customHeight="1" thickBot="1" x14ac:dyDescent="0.3">
      <c r="A151" s="151" t="s">
        <v>424</v>
      </c>
      <c r="B151" s="152"/>
      <c r="C151" s="152"/>
      <c r="D151" s="152"/>
      <c r="E151" s="152"/>
      <c r="F151" s="152"/>
      <c r="G151" s="12"/>
      <c r="H151" s="12"/>
      <c r="I151" s="12"/>
      <c r="J151" s="12"/>
      <c r="K151" s="12"/>
      <c r="L151" s="12"/>
      <c r="M151" s="13"/>
      <c r="O151" s="138"/>
      <c r="P151" s="135"/>
    </row>
    <row r="152" spans="1:16" ht="21.75" customHeight="1" thickBot="1" x14ac:dyDescent="0.3">
      <c r="A152" s="14">
        <v>114</v>
      </c>
      <c r="B152" s="15">
        <v>45726</v>
      </c>
      <c r="C152" s="16" t="s">
        <v>5</v>
      </c>
      <c r="D152" s="45" t="s">
        <v>203</v>
      </c>
      <c r="E152" s="16" t="s">
        <v>6</v>
      </c>
      <c r="F152" s="16" t="s">
        <v>7</v>
      </c>
      <c r="G152" s="53">
        <f>(3*3.4*5)+(1*4*5)</f>
        <v>71</v>
      </c>
      <c r="H152" s="16">
        <f>3+1</f>
        <v>4</v>
      </c>
      <c r="I152" s="16">
        <v>1</v>
      </c>
      <c r="J152" s="145" t="s">
        <v>443</v>
      </c>
      <c r="K152" s="146"/>
      <c r="L152" s="147"/>
      <c r="M152" s="17"/>
      <c r="O152" s="138"/>
      <c r="P152" s="135"/>
    </row>
    <row r="153" spans="1:16" ht="13.5" customHeight="1" thickBot="1" x14ac:dyDescent="0.3">
      <c r="A153" s="151" t="s">
        <v>425</v>
      </c>
      <c r="B153" s="152"/>
      <c r="C153" s="152"/>
      <c r="D153" s="152"/>
      <c r="E153" s="152"/>
      <c r="F153" s="152"/>
      <c r="G153" s="12"/>
      <c r="H153" s="12"/>
      <c r="I153" s="12"/>
      <c r="J153" s="12"/>
      <c r="K153" s="12"/>
      <c r="L153" s="12"/>
      <c r="M153" s="13"/>
      <c r="O153" s="138"/>
      <c r="P153" s="135"/>
    </row>
    <row r="154" spans="1:16" ht="13.5" customHeight="1" x14ac:dyDescent="0.25">
      <c r="A154" s="14">
        <v>115</v>
      </c>
      <c r="B154" s="15">
        <v>45728</v>
      </c>
      <c r="C154" s="16" t="s">
        <v>5</v>
      </c>
      <c r="D154" s="45" t="s">
        <v>101</v>
      </c>
      <c r="E154" s="16" t="s">
        <v>6</v>
      </c>
      <c r="F154" s="16" t="s">
        <v>7</v>
      </c>
      <c r="G154" s="16">
        <f>(90*9)+26.35+21.9</f>
        <v>858.25</v>
      </c>
      <c r="H154" s="16">
        <f>5+1</f>
        <v>6</v>
      </c>
      <c r="I154" s="16">
        <v>1</v>
      </c>
      <c r="J154" s="145" t="s">
        <v>443</v>
      </c>
      <c r="K154" s="146"/>
      <c r="L154" s="147"/>
      <c r="M154" s="17"/>
      <c r="O154" s="138"/>
      <c r="P154" s="135"/>
    </row>
    <row r="155" spans="1:16" ht="13.5" customHeight="1" thickBot="1" x14ac:dyDescent="0.3">
      <c r="A155" s="32">
        <v>116</v>
      </c>
      <c r="B155" s="33">
        <v>45728</v>
      </c>
      <c r="C155" s="34" t="s">
        <v>5</v>
      </c>
      <c r="D155" s="105" t="s">
        <v>102</v>
      </c>
      <c r="E155" s="34" t="s">
        <v>6</v>
      </c>
      <c r="F155" s="34" t="s">
        <v>7</v>
      </c>
      <c r="G155" s="34">
        <f>2*7.5*2.7</f>
        <v>40.5</v>
      </c>
      <c r="H155" s="34">
        <v>2</v>
      </c>
      <c r="I155" s="34">
        <v>0</v>
      </c>
      <c r="J155" s="148"/>
      <c r="K155" s="149"/>
      <c r="L155" s="150"/>
      <c r="M155" s="35"/>
      <c r="O155" s="138"/>
      <c r="P155" s="135"/>
    </row>
    <row r="156" spans="1:16" ht="13.5" customHeight="1" thickBot="1" x14ac:dyDescent="0.3">
      <c r="A156" s="151" t="s">
        <v>145</v>
      </c>
      <c r="B156" s="152"/>
      <c r="C156" s="152"/>
      <c r="D156" s="152"/>
      <c r="E156" s="152"/>
      <c r="F156" s="152"/>
      <c r="G156" s="12"/>
      <c r="H156" s="12"/>
      <c r="I156" s="12"/>
      <c r="J156" s="12"/>
      <c r="K156" s="12"/>
      <c r="L156" s="12"/>
      <c r="M156" s="13"/>
      <c r="O156" s="138"/>
      <c r="P156" s="135"/>
    </row>
    <row r="157" spans="1:16" ht="21.75" customHeight="1" thickBot="1" x14ac:dyDescent="0.3">
      <c r="A157" s="14">
        <v>117</v>
      </c>
      <c r="B157" s="15">
        <v>45728</v>
      </c>
      <c r="C157" s="16" t="s">
        <v>5</v>
      </c>
      <c r="D157" s="45" t="s">
        <v>458</v>
      </c>
      <c r="E157" s="16" t="s">
        <v>6</v>
      </c>
      <c r="F157" s="16" t="s">
        <v>7</v>
      </c>
      <c r="G157" s="41">
        <f>(10.5*22)+(12*4)</f>
        <v>279</v>
      </c>
      <c r="H157" s="16">
        <f>6+1</f>
        <v>7</v>
      </c>
      <c r="I157" s="16">
        <v>1</v>
      </c>
      <c r="J157" s="145" t="s">
        <v>443</v>
      </c>
      <c r="K157" s="146"/>
      <c r="L157" s="147"/>
      <c r="M157" s="17"/>
      <c r="O157" s="138"/>
      <c r="P157" s="135"/>
    </row>
    <row r="158" spans="1:16" ht="13.5" customHeight="1" thickBot="1" x14ac:dyDescent="0.3">
      <c r="A158" s="151" t="s">
        <v>204</v>
      </c>
      <c r="B158" s="152"/>
      <c r="C158" s="152"/>
      <c r="D158" s="152"/>
      <c r="E158" s="152"/>
      <c r="F158" s="152"/>
      <c r="G158" s="12"/>
      <c r="H158" s="12"/>
      <c r="I158" s="12"/>
      <c r="J158" s="12"/>
      <c r="K158" s="12"/>
      <c r="L158" s="12"/>
      <c r="M158" s="13"/>
      <c r="O158" s="138"/>
      <c r="P158" s="135"/>
    </row>
    <row r="159" spans="1:16" ht="21.75" customHeight="1" thickBot="1" x14ac:dyDescent="0.3">
      <c r="A159" s="14">
        <v>118</v>
      </c>
      <c r="B159" s="15">
        <v>45729</v>
      </c>
      <c r="C159" s="16" t="s">
        <v>5</v>
      </c>
      <c r="D159" s="45" t="s">
        <v>459</v>
      </c>
      <c r="E159" s="16" t="s">
        <v>6</v>
      </c>
      <c r="F159" s="16" t="s">
        <v>7</v>
      </c>
      <c r="G159" s="16">
        <f>(67*8.5)</f>
        <v>569.5</v>
      </c>
      <c r="H159" s="16">
        <f>17+2</f>
        <v>19</v>
      </c>
      <c r="I159" s="16">
        <v>2</v>
      </c>
      <c r="J159" s="145" t="s">
        <v>443</v>
      </c>
      <c r="K159" s="146"/>
      <c r="L159" s="147"/>
      <c r="M159" s="17"/>
      <c r="O159" s="138"/>
      <c r="P159" s="135"/>
    </row>
    <row r="160" spans="1:16" ht="13.5" customHeight="1" thickBot="1" x14ac:dyDescent="0.3">
      <c r="A160" s="151" t="s">
        <v>205</v>
      </c>
      <c r="B160" s="152"/>
      <c r="C160" s="152"/>
      <c r="D160" s="152"/>
      <c r="E160" s="152"/>
      <c r="F160" s="152"/>
      <c r="G160" s="12"/>
      <c r="H160" s="12"/>
      <c r="I160" s="12"/>
      <c r="J160" s="12"/>
      <c r="K160" s="12"/>
      <c r="L160" s="12"/>
      <c r="M160" s="13"/>
      <c r="O160" s="138"/>
      <c r="P160" s="135"/>
    </row>
    <row r="161" spans="1:16" ht="13.5" customHeight="1" x14ac:dyDescent="0.25">
      <c r="A161" s="14">
        <v>119</v>
      </c>
      <c r="B161" s="15">
        <v>45730</v>
      </c>
      <c r="C161" s="16" t="s">
        <v>5</v>
      </c>
      <c r="D161" s="45" t="s">
        <v>206</v>
      </c>
      <c r="E161" s="16" t="s">
        <v>6</v>
      </c>
      <c r="F161" s="16" t="s">
        <v>7</v>
      </c>
      <c r="G161" s="16">
        <f>(31*3.5)</f>
        <v>108.5</v>
      </c>
      <c r="H161" s="16">
        <f>9+1</f>
        <v>10</v>
      </c>
      <c r="I161" s="16">
        <v>1</v>
      </c>
      <c r="J161" s="145" t="s">
        <v>443</v>
      </c>
      <c r="K161" s="146"/>
      <c r="L161" s="147"/>
      <c r="M161" s="17"/>
      <c r="O161" s="138"/>
      <c r="P161" s="135"/>
    </row>
    <row r="162" spans="1:16" ht="13.5" customHeight="1" x14ac:dyDescent="0.25">
      <c r="A162" s="18">
        <v>120</v>
      </c>
      <c r="B162" s="19">
        <v>45730</v>
      </c>
      <c r="C162" s="128" t="s">
        <v>5</v>
      </c>
      <c r="D162" s="46" t="s">
        <v>448</v>
      </c>
      <c r="E162" s="128" t="s">
        <v>6</v>
      </c>
      <c r="F162" s="128" t="s">
        <v>7</v>
      </c>
      <c r="G162" s="44">
        <f>(8*43)</f>
        <v>344</v>
      </c>
      <c r="H162" s="128">
        <f>9+1</f>
        <v>10</v>
      </c>
      <c r="I162" s="128">
        <v>1</v>
      </c>
      <c r="J162" s="148"/>
      <c r="K162" s="149"/>
      <c r="L162" s="150"/>
      <c r="M162" s="21"/>
      <c r="O162" s="138"/>
      <c r="P162" s="135"/>
    </row>
    <row r="163" spans="1:16" ht="13.5" customHeight="1" x14ac:dyDescent="0.25">
      <c r="A163" s="18">
        <v>121</v>
      </c>
      <c r="B163" s="19">
        <v>45730</v>
      </c>
      <c r="C163" s="128" t="s">
        <v>5</v>
      </c>
      <c r="D163" s="46" t="s">
        <v>447</v>
      </c>
      <c r="E163" s="128" t="s">
        <v>6</v>
      </c>
      <c r="F163" s="128" t="s">
        <v>7</v>
      </c>
      <c r="G163" s="44">
        <f>(8*182)</f>
        <v>1456</v>
      </c>
      <c r="H163" s="128">
        <f>53+6</f>
        <v>59</v>
      </c>
      <c r="I163" s="128">
        <v>6</v>
      </c>
      <c r="J163" s="148"/>
      <c r="K163" s="149"/>
      <c r="L163" s="150"/>
      <c r="M163" s="21"/>
      <c r="O163" s="138"/>
      <c r="P163" s="135"/>
    </row>
    <row r="164" spans="1:16" ht="13.5" customHeight="1" x14ac:dyDescent="0.25">
      <c r="A164" s="42">
        <v>122</v>
      </c>
      <c r="B164" s="48">
        <v>45730</v>
      </c>
      <c r="C164" s="129" t="s">
        <v>5</v>
      </c>
      <c r="D164" s="107" t="s">
        <v>207</v>
      </c>
      <c r="E164" s="129" t="s">
        <v>6</v>
      </c>
      <c r="F164" s="129" t="s">
        <v>7</v>
      </c>
      <c r="G164" s="43">
        <f>(9*3*6.2)+(2*4.5*6.2)+(10*3*6.2)+(1*4.5*6.2)</f>
        <v>437.1</v>
      </c>
      <c r="H164" s="129">
        <f>9+2+10+1</f>
        <v>22</v>
      </c>
      <c r="I164" s="129">
        <v>3</v>
      </c>
      <c r="J164" s="148"/>
      <c r="K164" s="149"/>
      <c r="L164" s="150"/>
      <c r="M164" s="39"/>
      <c r="O164" s="138"/>
      <c r="P164" s="135"/>
    </row>
    <row r="165" spans="1:16" ht="13.5" customHeight="1" thickBot="1" x14ac:dyDescent="0.3">
      <c r="A165" s="32">
        <v>123</v>
      </c>
      <c r="B165" s="33">
        <v>45730</v>
      </c>
      <c r="C165" s="34" t="s">
        <v>5</v>
      </c>
      <c r="D165" s="105" t="s">
        <v>208</v>
      </c>
      <c r="E165" s="34" t="s">
        <v>6</v>
      </c>
      <c r="F165" s="34" t="s">
        <v>7</v>
      </c>
      <c r="G165" s="34">
        <f>2*8.5*2.5</f>
        <v>42.5</v>
      </c>
      <c r="H165" s="34">
        <f>1+1</f>
        <v>2</v>
      </c>
      <c r="I165" s="34">
        <v>1</v>
      </c>
      <c r="J165" s="148"/>
      <c r="K165" s="149"/>
      <c r="L165" s="150"/>
      <c r="M165" s="35"/>
      <c r="O165" s="138"/>
      <c r="P165" s="135"/>
    </row>
    <row r="166" spans="1:16" ht="13.5" customHeight="1" thickBot="1" x14ac:dyDescent="0.3">
      <c r="A166" s="151" t="s">
        <v>209</v>
      </c>
      <c r="B166" s="152"/>
      <c r="C166" s="152"/>
      <c r="D166" s="152"/>
      <c r="E166" s="152"/>
      <c r="F166" s="152"/>
      <c r="G166" s="12"/>
      <c r="H166" s="12"/>
      <c r="I166" s="12"/>
      <c r="J166" s="12"/>
      <c r="K166" s="12"/>
      <c r="L166" s="12"/>
      <c r="M166" s="13"/>
      <c r="O166" s="138"/>
      <c r="P166" s="135"/>
    </row>
    <row r="167" spans="1:16" ht="21.75" customHeight="1" thickBot="1" x14ac:dyDescent="0.3">
      <c r="A167" s="14">
        <v>124</v>
      </c>
      <c r="B167" s="15">
        <v>45733</v>
      </c>
      <c r="C167" s="16" t="s">
        <v>5</v>
      </c>
      <c r="D167" s="45" t="s">
        <v>210</v>
      </c>
      <c r="E167" s="16" t="s">
        <v>6</v>
      </c>
      <c r="F167" s="16" t="s">
        <v>7</v>
      </c>
      <c r="G167" s="16">
        <f>(23*2.5*5)+(3*4*5)</f>
        <v>347.5</v>
      </c>
      <c r="H167" s="16">
        <f>22+3</f>
        <v>25</v>
      </c>
      <c r="I167" s="16">
        <v>3</v>
      </c>
      <c r="J167" s="145" t="s">
        <v>443</v>
      </c>
      <c r="K167" s="146"/>
      <c r="L167" s="147"/>
      <c r="M167" s="17"/>
      <c r="O167" s="138"/>
      <c r="P167" s="135"/>
    </row>
    <row r="168" spans="1:16" ht="13.5" customHeight="1" thickBot="1" x14ac:dyDescent="0.3">
      <c r="A168" s="151" t="s">
        <v>426</v>
      </c>
      <c r="B168" s="152"/>
      <c r="C168" s="152"/>
      <c r="D168" s="152"/>
      <c r="E168" s="152"/>
      <c r="F168" s="152"/>
      <c r="G168" s="36"/>
      <c r="H168" s="36"/>
      <c r="I168" s="36"/>
      <c r="J168" s="36"/>
      <c r="K168" s="36"/>
      <c r="L168" s="36"/>
      <c r="M168" s="37"/>
      <c r="O168" s="138"/>
      <c r="P168" s="135"/>
    </row>
    <row r="169" spans="1:16" ht="13.5" customHeight="1" x14ac:dyDescent="0.25">
      <c r="A169" s="18">
        <v>125</v>
      </c>
      <c r="B169" s="19">
        <v>45733</v>
      </c>
      <c r="C169" s="128" t="s">
        <v>5</v>
      </c>
      <c r="D169" s="46" t="s">
        <v>212</v>
      </c>
      <c r="E169" s="128" t="s">
        <v>6</v>
      </c>
      <c r="F169" s="128" t="s">
        <v>7</v>
      </c>
      <c r="G169" s="44">
        <f>3.5*42</f>
        <v>147</v>
      </c>
      <c r="H169" s="128">
        <f>4+1</f>
        <v>5</v>
      </c>
      <c r="I169" s="128">
        <v>1</v>
      </c>
      <c r="J169" s="174" t="s">
        <v>443</v>
      </c>
      <c r="K169" s="174"/>
      <c r="L169" s="174"/>
      <c r="M169" s="21"/>
      <c r="O169" s="138"/>
      <c r="P169" s="135"/>
    </row>
    <row r="170" spans="1:16" ht="13.5" customHeight="1" x14ac:dyDescent="0.25">
      <c r="A170" s="42">
        <v>126</v>
      </c>
      <c r="B170" s="48">
        <v>45733</v>
      </c>
      <c r="C170" s="129" t="s">
        <v>5</v>
      </c>
      <c r="D170" s="107" t="s">
        <v>212</v>
      </c>
      <c r="E170" s="129" t="s">
        <v>6</v>
      </c>
      <c r="F170" s="129" t="s">
        <v>7</v>
      </c>
      <c r="G170" s="129">
        <f>(2*7.5*3)+(1*7.5*3)</f>
        <v>67.5</v>
      </c>
      <c r="H170" s="129">
        <f>2+1</f>
        <v>3</v>
      </c>
      <c r="I170" s="129">
        <v>1</v>
      </c>
      <c r="J170" s="175"/>
      <c r="K170" s="175"/>
      <c r="L170" s="175"/>
      <c r="M170" s="39"/>
      <c r="O170" s="138"/>
      <c r="P170" s="135"/>
    </row>
    <row r="171" spans="1:16" ht="13.5" customHeight="1" thickBot="1" x14ac:dyDescent="0.3">
      <c r="A171" s="63">
        <v>127</v>
      </c>
      <c r="B171" s="58">
        <v>45733</v>
      </c>
      <c r="C171" s="130" t="s">
        <v>5</v>
      </c>
      <c r="D171" s="108" t="s">
        <v>211</v>
      </c>
      <c r="E171" s="130" t="s">
        <v>6</v>
      </c>
      <c r="F171" s="130" t="s">
        <v>7</v>
      </c>
      <c r="G171" s="130">
        <f>(2*7.5*3.5)+(1*7.5*3.5)</f>
        <v>78.75</v>
      </c>
      <c r="H171" s="130">
        <f>2+1</f>
        <v>3</v>
      </c>
      <c r="I171" s="130">
        <v>1</v>
      </c>
      <c r="J171" s="176"/>
      <c r="K171" s="176"/>
      <c r="L171" s="176"/>
      <c r="M171" s="60"/>
      <c r="O171" s="138"/>
      <c r="P171" s="135"/>
    </row>
    <row r="172" spans="1:16" ht="13.5" customHeight="1" thickBot="1" x14ac:dyDescent="0.3">
      <c r="A172" s="151" t="s">
        <v>427</v>
      </c>
      <c r="B172" s="152"/>
      <c r="C172" s="152"/>
      <c r="D172" s="152"/>
      <c r="E172" s="152"/>
      <c r="F172" s="152"/>
      <c r="G172" s="12"/>
      <c r="H172" s="12"/>
      <c r="I172" s="12"/>
      <c r="J172" s="12"/>
      <c r="K172" s="12"/>
      <c r="L172" s="12"/>
      <c r="M172" s="13"/>
      <c r="O172" s="138"/>
      <c r="P172" s="135"/>
    </row>
    <row r="173" spans="1:16" ht="13.5" customHeight="1" x14ac:dyDescent="0.25">
      <c r="A173" s="14">
        <v>128</v>
      </c>
      <c r="B173" s="15">
        <v>45736</v>
      </c>
      <c r="C173" s="16" t="s">
        <v>5</v>
      </c>
      <c r="D173" s="92" t="s">
        <v>34</v>
      </c>
      <c r="E173" s="38" t="s">
        <v>6</v>
      </c>
      <c r="F173" s="38" t="s">
        <v>7</v>
      </c>
      <c r="G173" s="64">
        <f>(23*5)+(38*5)+(29*5)+(36*5)+(27*5)+(31*5)+(17*5)</f>
        <v>1005</v>
      </c>
      <c r="H173" s="16">
        <f>7+1+13+1+9+1+10+1+8+1+10+1+4+1</f>
        <v>68</v>
      </c>
      <c r="I173" s="16">
        <f>1+1+1+1+1+1+1</f>
        <v>7</v>
      </c>
      <c r="J173" s="145" t="s">
        <v>443</v>
      </c>
      <c r="K173" s="146"/>
      <c r="L173" s="147"/>
      <c r="M173" s="17"/>
      <c r="O173" s="138"/>
      <c r="P173" s="135"/>
    </row>
    <row r="174" spans="1:16" ht="13.5" customHeight="1" x14ac:dyDescent="0.25">
      <c r="A174" s="18">
        <v>129</v>
      </c>
      <c r="B174" s="19">
        <v>45736</v>
      </c>
      <c r="C174" s="128" t="s">
        <v>5</v>
      </c>
      <c r="D174" s="103" t="s">
        <v>27</v>
      </c>
      <c r="E174" s="24" t="s">
        <v>6</v>
      </c>
      <c r="F174" s="24" t="s">
        <v>7</v>
      </c>
      <c r="G174" s="55">
        <f>23*5</f>
        <v>115</v>
      </c>
      <c r="H174" s="128">
        <f>7+1</f>
        <v>8</v>
      </c>
      <c r="I174" s="128">
        <v>1</v>
      </c>
      <c r="J174" s="148"/>
      <c r="K174" s="149"/>
      <c r="L174" s="150"/>
      <c r="M174" s="21"/>
      <c r="O174" s="138"/>
      <c r="P174" s="135"/>
    </row>
    <row r="175" spans="1:16" ht="13.5" customHeight="1" x14ac:dyDescent="0.25">
      <c r="A175" s="18">
        <v>130</v>
      </c>
      <c r="B175" s="19">
        <v>45736</v>
      </c>
      <c r="C175" s="128" t="s">
        <v>5</v>
      </c>
      <c r="D175" s="103" t="s">
        <v>27</v>
      </c>
      <c r="E175" s="24" t="s">
        <v>6</v>
      </c>
      <c r="F175" s="24" t="s">
        <v>7</v>
      </c>
      <c r="G175" s="40">
        <f>18*5</f>
        <v>90</v>
      </c>
      <c r="H175" s="128">
        <f>5+1</f>
        <v>6</v>
      </c>
      <c r="I175" s="128">
        <v>1</v>
      </c>
      <c r="J175" s="148"/>
      <c r="K175" s="149"/>
      <c r="L175" s="150"/>
      <c r="M175" s="21"/>
      <c r="O175" s="138"/>
      <c r="P175" s="135"/>
    </row>
    <row r="176" spans="1:16" ht="13.5" customHeight="1" x14ac:dyDescent="0.25">
      <c r="A176" s="18">
        <v>131</v>
      </c>
      <c r="B176" s="19">
        <v>45736</v>
      </c>
      <c r="C176" s="128" t="s">
        <v>5</v>
      </c>
      <c r="D176" s="103" t="s">
        <v>460</v>
      </c>
      <c r="E176" s="24" t="s">
        <v>6</v>
      </c>
      <c r="F176" s="24" t="s">
        <v>7</v>
      </c>
      <c r="G176" s="40">
        <f>(17.5*5)</f>
        <v>87.5</v>
      </c>
      <c r="H176" s="128">
        <f>8+1</f>
        <v>9</v>
      </c>
      <c r="I176" s="128">
        <v>1</v>
      </c>
      <c r="J176" s="148"/>
      <c r="K176" s="149"/>
      <c r="L176" s="150"/>
      <c r="M176" s="21"/>
      <c r="O176" s="138"/>
      <c r="P176" s="135"/>
    </row>
    <row r="177" spans="1:16" ht="13.5" customHeight="1" x14ac:dyDescent="0.25">
      <c r="A177" s="18">
        <v>132</v>
      </c>
      <c r="B177" s="19">
        <v>45736</v>
      </c>
      <c r="C177" s="128" t="s">
        <v>5</v>
      </c>
      <c r="D177" s="103" t="s">
        <v>8</v>
      </c>
      <c r="E177" s="24" t="s">
        <v>6</v>
      </c>
      <c r="F177" s="24" t="s">
        <v>7</v>
      </c>
      <c r="G177" s="24">
        <f>(30.5*5)</f>
        <v>152.5</v>
      </c>
      <c r="H177" s="128">
        <f>5+1</f>
        <v>6</v>
      </c>
      <c r="I177" s="128">
        <v>1</v>
      </c>
      <c r="J177" s="148"/>
      <c r="K177" s="149"/>
      <c r="L177" s="150"/>
      <c r="M177" s="21"/>
      <c r="O177" s="138"/>
      <c r="P177" s="135"/>
    </row>
    <row r="178" spans="1:16" ht="13.5" customHeight="1" x14ac:dyDescent="0.25">
      <c r="A178" s="18">
        <v>133</v>
      </c>
      <c r="B178" s="19">
        <v>45736</v>
      </c>
      <c r="C178" s="128" t="s">
        <v>5</v>
      </c>
      <c r="D178" s="103" t="s">
        <v>28</v>
      </c>
      <c r="E178" s="24" t="s">
        <v>6</v>
      </c>
      <c r="F178" s="24" t="s">
        <v>7</v>
      </c>
      <c r="G178" s="24">
        <f>25.5*5</f>
        <v>127.5</v>
      </c>
      <c r="H178" s="128">
        <f>7+1</f>
        <v>8</v>
      </c>
      <c r="I178" s="128">
        <v>1</v>
      </c>
      <c r="J178" s="148"/>
      <c r="K178" s="149"/>
      <c r="L178" s="150"/>
      <c r="M178" s="21"/>
      <c r="O178" s="138"/>
      <c r="P178" s="135"/>
    </row>
    <row r="179" spans="1:16" ht="13.5" customHeight="1" x14ac:dyDescent="0.25">
      <c r="A179" s="18">
        <v>134</v>
      </c>
      <c r="B179" s="19">
        <v>45736</v>
      </c>
      <c r="C179" s="128" t="s">
        <v>5</v>
      </c>
      <c r="D179" s="103" t="s">
        <v>29</v>
      </c>
      <c r="E179" s="24" t="s">
        <v>6</v>
      </c>
      <c r="F179" s="24" t="s">
        <v>7</v>
      </c>
      <c r="G179" s="40">
        <f>(29*5)+(25.6*5)</f>
        <v>273</v>
      </c>
      <c r="H179" s="128">
        <f>10+1+8+1</f>
        <v>20</v>
      </c>
      <c r="I179" s="128">
        <f>1+1</f>
        <v>2</v>
      </c>
      <c r="J179" s="148"/>
      <c r="K179" s="149"/>
      <c r="L179" s="150"/>
      <c r="M179" s="21"/>
      <c r="O179" s="138"/>
      <c r="P179" s="135"/>
    </row>
    <row r="180" spans="1:16" ht="13.5" customHeight="1" x14ac:dyDescent="0.25">
      <c r="A180" s="18">
        <v>135</v>
      </c>
      <c r="B180" s="19">
        <v>45736</v>
      </c>
      <c r="C180" s="128" t="s">
        <v>5</v>
      </c>
      <c r="D180" s="103" t="s">
        <v>30</v>
      </c>
      <c r="E180" s="24" t="s">
        <v>6</v>
      </c>
      <c r="F180" s="24" t="s">
        <v>7</v>
      </c>
      <c r="G180" s="24">
        <f>(20*5)+(28.5*5)+(20*5)</f>
        <v>342.5</v>
      </c>
      <c r="H180" s="128">
        <f>6+1+9+1+6+1</f>
        <v>24</v>
      </c>
      <c r="I180" s="128">
        <f>1+1+1</f>
        <v>3</v>
      </c>
      <c r="J180" s="148"/>
      <c r="K180" s="149"/>
      <c r="L180" s="150"/>
      <c r="M180" s="21"/>
      <c r="O180" s="138"/>
      <c r="P180" s="135"/>
    </row>
    <row r="181" spans="1:16" ht="13.5" customHeight="1" x14ac:dyDescent="0.25">
      <c r="A181" s="18">
        <v>136</v>
      </c>
      <c r="B181" s="19">
        <v>45736</v>
      </c>
      <c r="C181" s="128" t="s">
        <v>5</v>
      </c>
      <c r="D181" s="103" t="s">
        <v>461</v>
      </c>
      <c r="E181" s="24" t="s">
        <v>6</v>
      </c>
      <c r="F181" s="24" t="s">
        <v>7</v>
      </c>
      <c r="G181" s="40">
        <f>(29*5)</f>
        <v>145</v>
      </c>
      <c r="H181" s="128">
        <f>9+1</f>
        <v>10</v>
      </c>
      <c r="I181" s="128">
        <v>1</v>
      </c>
      <c r="J181" s="148"/>
      <c r="K181" s="149"/>
      <c r="L181" s="150"/>
      <c r="M181" s="21"/>
      <c r="O181" s="138"/>
      <c r="P181" s="135"/>
    </row>
    <row r="182" spans="1:16" ht="13.5" customHeight="1" x14ac:dyDescent="0.25">
      <c r="A182" s="18">
        <v>137</v>
      </c>
      <c r="B182" s="19">
        <v>45736</v>
      </c>
      <c r="C182" s="128" t="s">
        <v>5</v>
      </c>
      <c r="D182" s="103" t="s">
        <v>462</v>
      </c>
      <c r="E182" s="24" t="s">
        <v>6</v>
      </c>
      <c r="F182" s="24" t="s">
        <v>7</v>
      </c>
      <c r="G182" s="24">
        <f>(12.5*5)</f>
        <v>62.5</v>
      </c>
      <c r="H182" s="128">
        <f>3+1</f>
        <v>4</v>
      </c>
      <c r="I182" s="128">
        <v>1</v>
      </c>
      <c r="J182" s="148"/>
      <c r="K182" s="149"/>
      <c r="L182" s="150"/>
      <c r="M182" s="21"/>
      <c r="O182" s="138"/>
      <c r="P182" s="135"/>
    </row>
    <row r="183" spans="1:16" ht="13.5" customHeight="1" x14ac:dyDescent="0.25">
      <c r="A183" s="18">
        <v>138</v>
      </c>
      <c r="B183" s="19">
        <v>45736</v>
      </c>
      <c r="C183" s="128" t="s">
        <v>5</v>
      </c>
      <c r="D183" s="103" t="s">
        <v>31</v>
      </c>
      <c r="E183" s="24" t="s">
        <v>6</v>
      </c>
      <c r="F183" s="24" t="s">
        <v>7</v>
      </c>
      <c r="G183" s="40">
        <f>28*5</f>
        <v>140</v>
      </c>
      <c r="H183" s="128">
        <f>9+1</f>
        <v>10</v>
      </c>
      <c r="I183" s="128">
        <v>1</v>
      </c>
      <c r="J183" s="148"/>
      <c r="K183" s="149"/>
      <c r="L183" s="150"/>
      <c r="M183" s="21"/>
      <c r="O183" s="138"/>
      <c r="P183" s="135"/>
    </row>
    <row r="184" spans="1:16" ht="13.5" customHeight="1" x14ac:dyDescent="0.25">
      <c r="A184" s="18">
        <v>139</v>
      </c>
      <c r="B184" s="19">
        <v>45736</v>
      </c>
      <c r="C184" s="128" t="s">
        <v>5</v>
      </c>
      <c r="D184" s="103" t="s">
        <v>32</v>
      </c>
      <c r="E184" s="24" t="s">
        <v>6</v>
      </c>
      <c r="F184" s="24" t="s">
        <v>7</v>
      </c>
      <c r="G184" s="24">
        <f>23.5*5</f>
        <v>117.5</v>
      </c>
      <c r="H184" s="128">
        <f>7+1</f>
        <v>8</v>
      </c>
      <c r="I184" s="128">
        <v>1</v>
      </c>
      <c r="J184" s="148"/>
      <c r="K184" s="149"/>
      <c r="L184" s="150"/>
      <c r="M184" s="21"/>
      <c r="O184" s="138"/>
      <c r="P184" s="135"/>
    </row>
    <row r="185" spans="1:16" ht="13.5" customHeight="1" x14ac:dyDescent="0.25">
      <c r="A185" s="18">
        <v>140</v>
      </c>
      <c r="B185" s="19">
        <v>45736</v>
      </c>
      <c r="C185" s="128" t="s">
        <v>5</v>
      </c>
      <c r="D185" s="103" t="s">
        <v>33</v>
      </c>
      <c r="E185" s="24" t="s">
        <v>6</v>
      </c>
      <c r="F185" s="24" t="s">
        <v>7</v>
      </c>
      <c r="G185" s="24">
        <f>(49.5*5)-5</f>
        <v>242.5</v>
      </c>
      <c r="H185" s="128">
        <f>11+2</f>
        <v>13</v>
      </c>
      <c r="I185" s="128">
        <v>2</v>
      </c>
      <c r="J185" s="148"/>
      <c r="K185" s="149"/>
      <c r="L185" s="150"/>
      <c r="M185" s="21"/>
      <c r="O185" s="138"/>
      <c r="P185" s="135"/>
    </row>
    <row r="186" spans="1:16" ht="13.5" customHeight="1" x14ac:dyDescent="0.25">
      <c r="A186" s="18">
        <v>141</v>
      </c>
      <c r="B186" s="19">
        <v>45736</v>
      </c>
      <c r="C186" s="128" t="s">
        <v>5</v>
      </c>
      <c r="D186" s="103" t="s">
        <v>35</v>
      </c>
      <c r="E186" s="24" t="s">
        <v>6</v>
      </c>
      <c r="F186" s="24" t="s">
        <v>7</v>
      </c>
      <c r="G186" s="24">
        <f>(29.5*5)</f>
        <v>147.5</v>
      </c>
      <c r="H186" s="24">
        <f>8+2</f>
        <v>10</v>
      </c>
      <c r="I186" s="24">
        <v>2</v>
      </c>
      <c r="J186" s="148"/>
      <c r="K186" s="149"/>
      <c r="L186" s="150"/>
      <c r="M186" s="21"/>
      <c r="O186" s="138"/>
      <c r="P186" s="135"/>
    </row>
    <row r="187" spans="1:16" ht="13.5" customHeight="1" x14ac:dyDescent="0.25">
      <c r="A187" s="18">
        <v>142</v>
      </c>
      <c r="B187" s="19">
        <v>45736</v>
      </c>
      <c r="C187" s="128" t="s">
        <v>5</v>
      </c>
      <c r="D187" s="103" t="s">
        <v>463</v>
      </c>
      <c r="E187" s="24" t="s">
        <v>6</v>
      </c>
      <c r="F187" s="24" t="s">
        <v>7</v>
      </c>
      <c r="G187" s="24">
        <f>(13.5*5)</f>
        <v>67.5</v>
      </c>
      <c r="H187" s="24">
        <f>2+1</f>
        <v>3</v>
      </c>
      <c r="I187" s="24">
        <v>1</v>
      </c>
      <c r="J187" s="148"/>
      <c r="K187" s="149"/>
      <c r="L187" s="150"/>
      <c r="M187" s="21"/>
      <c r="O187" s="138"/>
      <c r="P187" s="135"/>
    </row>
    <row r="188" spans="1:16" ht="13.5" customHeight="1" x14ac:dyDescent="0.25">
      <c r="A188" s="18">
        <v>143</v>
      </c>
      <c r="B188" s="19">
        <v>45736</v>
      </c>
      <c r="C188" s="128" t="s">
        <v>5</v>
      </c>
      <c r="D188" s="103" t="s">
        <v>36</v>
      </c>
      <c r="E188" s="24" t="s">
        <v>6</v>
      </c>
      <c r="F188" s="24" t="s">
        <v>7</v>
      </c>
      <c r="G188" s="24">
        <f>(18*4.6)+(26*4.6)+(32*4.6)+(35*4.7)+(18*4.7)</f>
        <v>598.69999999999993</v>
      </c>
      <c r="H188" s="24">
        <f>5+1+8+1+10+1+11+2+5</f>
        <v>44</v>
      </c>
      <c r="I188" s="24">
        <f>1+1+1+2+0</f>
        <v>5</v>
      </c>
      <c r="J188" s="148"/>
      <c r="K188" s="149"/>
      <c r="L188" s="150"/>
      <c r="M188" s="21"/>
      <c r="O188" s="138"/>
      <c r="P188" s="135"/>
    </row>
    <row r="189" spans="1:16" ht="13.5" customHeight="1" x14ac:dyDescent="0.25">
      <c r="A189" s="18">
        <v>144</v>
      </c>
      <c r="B189" s="19">
        <v>45736</v>
      </c>
      <c r="C189" s="128" t="s">
        <v>5</v>
      </c>
      <c r="D189" s="103" t="s">
        <v>444</v>
      </c>
      <c r="E189" s="24" t="s">
        <v>6</v>
      </c>
      <c r="F189" s="24" t="s">
        <v>7</v>
      </c>
      <c r="G189" s="24">
        <f>31*12.8</f>
        <v>396.8</v>
      </c>
      <c r="H189" s="24">
        <f>9+2</f>
        <v>11</v>
      </c>
      <c r="I189" s="24">
        <v>2</v>
      </c>
      <c r="J189" s="148"/>
      <c r="K189" s="149"/>
      <c r="L189" s="150"/>
      <c r="M189" s="21"/>
      <c r="O189" s="138"/>
      <c r="P189" s="135"/>
    </row>
    <row r="190" spans="1:16" ht="13.5" customHeight="1" x14ac:dyDescent="0.25">
      <c r="A190" s="18">
        <v>145</v>
      </c>
      <c r="B190" s="19">
        <v>45736</v>
      </c>
      <c r="C190" s="128" t="s">
        <v>5</v>
      </c>
      <c r="D190" s="103" t="s">
        <v>37</v>
      </c>
      <c r="E190" s="24" t="s">
        <v>6</v>
      </c>
      <c r="F190" s="24" t="s">
        <v>7</v>
      </c>
      <c r="G190" s="24">
        <f>(28*5)+(41*5)+(30*5)+(26.5*5)+(19*5)</f>
        <v>722.5</v>
      </c>
      <c r="H190" s="24">
        <f>8+2+14+1+10+1+8+1+6+1</f>
        <v>52</v>
      </c>
      <c r="I190" s="24">
        <f>2+1+1+1+1</f>
        <v>6</v>
      </c>
      <c r="J190" s="148"/>
      <c r="K190" s="149"/>
      <c r="L190" s="150"/>
      <c r="M190" s="21"/>
      <c r="O190" s="138"/>
      <c r="P190" s="135"/>
    </row>
    <row r="191" spans="1:16" ht="13.5" customHeight="1" x14ac:dyDescent="0.25">
      <c r="A191" s="18">
        <v>146</v>
      </c>
      <c r="B191" s="19">
        <v>45736</v>
      </c>
      <c r="C191" s="128" t="s">
        <v>5</v>
      </c>
      <c r="D191" s="103" t="s">
        <v>38</v>
      </c>
      <c r="E191" s="24" t="s">
        <v>6</v>
      </c>
      <c r="F191" s="24" t="s">
        <v>7</v>
      </c>
      <c r="G191" s="24">
        <f>(32*5)+(31*5)</f>
        <v>315</v>
      </c>
      <c r="H191" s="24">
        <f>10+2+10+1</f>
        <v>23</v>
      </c>
      <c r="I191" s="24">
        <v>2</v>
      </c>
      <c r="J191" s="148"/>
      <c r="K191" s="149"/>
      <c r="L191" s="150"/>
      <c r="M191" s="21"/>
      <c r="O191" s="138"/>
      <c r="P191" s="135"/>
    </row>
    <row r="192" spans="1:16" ht="13.5" customHeight="1" x14ac:dyDescent="0.25">
      <c r="A192" s="18">
        <v>147</v>
      </c>
      <c r="B192" s="19">
        <v>45736</v>
      </c>
      <c r="C192" s="128" t="s">
        <v>5</v>
      </c>
      <c r="D192" s="103" t="s">
        <v>39</v>
      </c>
      <c r="E192" s="24" t="s">
        <v>6</v>
      </c>
      <c r="F192" s="24" t="s">
        <v>7</v>
      </c>
      <c r="G192" s="24">
        <f>26.5*5</f>
        <v>132.5</v>
      </c>
      <c r="H192" s="24">
        <f>9+1</f>
        <v>10</v>
      </c>
      <c r="I192" s="24">
        <v>1</v>
      </c>
      <c r="J192" s="148"/>
      <c r="K192" s="149"/>
      <c r="L192" s="150"/>
      <c r="M192" s="21"/>
      <c r="O192" s="138"/>
      <c r="P192" s="135"/>
    </row>
    <row r="193" spans="1:16" ht="13.5" customHeight="1" x14ac:dyDescent="0.25">
      <c r="A193" s="18">
        <v>148</v>
      </c>
      <c r="B193" s="19">
        <v>45736</v>
      </c>
      <c r="C193" s="128" t="s">
        <v>5</v>
      </c>
      <c r="D193" s="103" t="s">
        <v>40</v>
      </c>
      <c r="E193" s="24" t="s">
        <v>6</v>
      </c>
      <c r="F193" s="24" t="s">
        <v>7</v>
      </c>
      <c r="G193" s="24">
        <f>(28*4.1)+(25*3.9)</f>
        <v>212.29999999999998</v>
      </c>
      <c r="H193" s="24">
        <f>3+3+1</f>
        <v>7</v>
      </c>
      <c r="I193" s="24">
        <v>1</v>
      </c>
      <c r="J193" s="148"/>
      <c r="K193" s="149"/>
      <c r="L193" s="150"/>
      <c r="M193" s="21"/>
      <c r="O193" s="138"/>
      <c r="P193" s="135"/>
    </row>
    <row r="194" spans="1:16" ht="13.5" customHeight="1" x14ac:dyDescent="0.25">
      <c r="A194" s="18">
        <v>149</v>
      </c>
      <c r="B194" s="19">
        <v>45736</v>
      </c>
      <c r="C194" s="128" t="s">
        <v>5</v>
      </c>
      <c r="D194" s="103" t="s">
        <v>41</v>
      </c>
      <c r="E194" s="24" t="s">
        <v>6</v>
      </c>
      <c r="F194" s="24" t="s">
        <v>7</v>
      </c>
      <c r="G194" s="40">
        <f>(34*5)+(22*5)+(32*5)+(24*5)</f>
        <v>560</v>
      </c>
      <c r="H194" s="24">
        <f>11+2+7+1+11+1+8+1</f>
        <v>42</v>
      </c>
      <c r="I194" s="24">
        <f>2+1+1+1</f>
        <v>5</v>
      </c>
      <c r="J194" s="148"/>
      <c r="K194" s="149"/>
      <c r="L194" s="150"/>
      <c r="M194" s="21"/>
      <c r="O194" s="138"/>
      <c r="P194" s="135"/>
    </row>
    <row r="195" spans="1:16" ht="13.5" customHeight="1" x14ac:dyDescent="0.25">
      <c r="A195" s="18">
        <v>150</v>
      </c>
      <c r="B195" s="19">
        <v>45736</v>
      </c>
      <c r="C195" s="128" t="s">
        <v>5</v>
      </c>
      <c r="D195" s="103" t="s">
        <v>42</v>
      </c>
      <c r="E195" s="24" t="s">
        <v>6</v>
      </c>
      <c r="F195" s="24" t="s">
        <v>7</v>
      </c>
      <c r="G195" s="40">
        <f>28*5</f>
        <v>140</v>
      </c>
      <c r="H195" s="24">
        <f>9+1</f>
        <v>10</v>
      </c>
      <c r="I195" s="24">
        <v>1</v>
      </c>
      <c r="J195" s="148"/>
      <c r="K195" s="149"/>
      <c r="L195" s="150"/>
      <c r="M195" s="21"/>
      <c r="O195" s="138"/>
      <c r="P195" s="135"/>
    </row>
    <row r="196" spans="1:16" ht="13.5" customHeight="1" x14ac:dyDescent="0.25">
      <c r="A196" s="18">
        <v>151</v>
      </c>
      <c r="B196" s="19">
        <v>45736</v>
      </c>
      <c r="C196" s="128" t="s">
        <v>5</v>
      </c>
      <c r="D196" s="103" t="s">
        <v>43</v>
      </c>
      <c r="E196" s="24" t="s">
        <v>6</v>
      </c>
      <c r="F196" s="24" t="s">
        <v>7</v>
      </c>
      <c r="G196" s="55">
        <f>(27*5)+(25*5)</f>
        <v>260</v>
      </c>
      <c r="H196" s="49">
        <f>9+1+8+1</f>
        <v>19</v>
      </c>
      <c r="I196" s="49">
        <f>1+1</f>
        <v>2</v>
      </c>
      <c r="J196" s="148"/>
      <c r="K196" s="149"/>
      <c r="L196" s="150"/>
      <c r="M196" s="39"/>
      <c r="O196" s="138"/>
      <c r="P196" s="135"/>
    </row>
    <row r="197" spans="1:16" ht="13.5" customHeight="1" thickBot="1" x14ac:dyDescent="0.3">
      <c r="A197" s="18">
        <v>152</v>
      </c>
      <c r="B197" s="19">
        <v>45736</v>
      </c>
      <c r="C197" s="130" t="s">
        <v>5</v>
      </c>
      <c r="D197" s="109" t="s">
        <v>44</v>
      </c>
      <c r="E197" s="65" t="s">
        <v>6</v>
      </c>
      <c r="F197" s="65" t="s">
        <v>7</v>
      </c>
      <c r="G197" s="66">
        <f>36*5</f>
        <v>180</v>
      </c>
      <c r="H197" s="130">
        <f>12+2</f>
        <v>14</v>
      </c>
      <c r="I197" s="130">
        <v>2</v>
      </c>
      <c r="J197" s="153"/>
      <c r="K197" s="154"/>
      <c r="L197" s="155"/>
      <c r="M197" s="60"/>
      <c r="O197" s="138"/>
      <c r="P197" s="135"/>
    </row>
    <row r="198" spans="1:16" ht="13.5" customHeight="1" thickBot="1" x14ac:dyDescent="0.3">
      <c r="A198" s="151" t="s">
        <v>428</v>
      </c>
      <c r="B198" s="152"/>
      <c r="C198" s="152"/>
      <c r="D198" s="152"/>
      <c r="E198" s="152"/>
      <c r="F198" s="152"/>
      <c r="G198" s="12"/>
      <c r="H198" s="12"/>
      <c r="I198" s="12"/>
      <c r="J198" s="12"/>
      <c r="K198" s="12"/>
      <c r="L198" s="12"/>
      <c r="M198" s="13"/>
      <c r="O198" s="138"/>
      <c r="P198" s="135"/>
    </row>
    <row r="199" spans="1:16" ht="13.5" customHeight="1" x14ac:dyDescent="0.25">
      <c r="A199" s="61">
        <v>153</v>
      </c>
      <c r="B199" s="15">
        <v>45740</v>
      </c>
      <c r="C199" s="16" t="s">
        <v>5</v>
      </c>
      <c r="D199" s="92" t="s">
        <v>464</v>
      </c>
      <c r="E199" s="38" t="s">
        <v>6</v>
      </c>
      <c r="F199" s="38" t="s">
        <v>7</v>
      </c>
      <c r="G199" s="64">
        <f>(38*4)</f>
        <v>152</v>
      </c>
      <c r="H199" s="16">
        <f>8+1</f>
        <v>9</v>
      </c>
      <c r="I199" s="16">
        <v>1</v>
      </c>
      <c r="J199" s="145" t="s">
        <v>443</v>
      </c>
      <c r="K199" s="146"/>
      <c r="L199" s="147"/>
      <c r="M199" s="17"/>
      <c r="O199" s="138"/>
      <c r="P199" s="135"/>
    </row>
    <row r="200" spans="1:16" ht="13.5" customHeight="1" x14ac:dyDescent="0.25">
      <c r="A200" s="22">
        <v>154</v>
      </c>
      <c r="B200" s="19">
        <v>45740</v>
      </c>
      <c r="C200" s="128" t="s">
        <v>5</v>
      </c>
      <c r="D200" s="103" t="s">
        <v>113</v>
      </c>
      <c r="E200" s="24" t="s">
        <v>6</v>
      </c>
      <c r="F200" s="24" t="s">
        <v>7</v>
      </c>
      <c r="G200" s="24">
        <f>(45.5*3)</f>
        <v>136.5</v>
      </c>
      <c r="H200" s="128">
        <f>5+1</f>
        <v>6</v>
      </c>
      <c r="I200" s="128">
        <v>1</v>
      </c>
      <c r="J200" s="148"/>
      <c r="K200" s="149"/>
      <c r="L200" s="150"/>
      <c r="M200" s="21"/>
      <c r="O200" s="138"/>
      <c r="P200" s="135"/>
    </row>
    <row r="201" spans="1:16" ht="13.5" customHeight="1" x14ac:dyDescent="0.25">
      <c r="A201" s="42">
        <v>155</v>
      </c>
      <c r="B201" s="19">
        <v>45740</v>
      </c>
      <c r="C201" s="128" t="s">
        <v>5</v>
      </c>
      <c r="D201" s="103" t="s">
        <v>114</v>
      </c>
      <c r="E201" s="24" t="s">
        <v>6</v>
      </c>
      <c r="F201" s="24" t="s">
        <v>7</v>
      </c>
      <c r="G201" s="49">
        <f>(3*7.5*2.5)+6.5</f>
        <v>62.75</v>
      </c>
      <c r="H201" s="128">
        <f>2+1</f>
        <v>3</v>
      </c>
      <c r="I201" s="128">
        <v>1</v>
      </c>
      <c r="J201" s="148"/>
      <c r="K201" s="149"/>
      <c r="L201" s="150"/>
      <c r="M201" s="21"/>
      <c r="O201" s="138"/>
      <c r="P201" s="135"/>
    </row>
    <row r="202" spans="1:16" ht="13.5" customHeight="1" x14ac:dyDescent="0.25">
      <c r="A202" s="22">
        <v>156</v>
      </c>
      <c r="B202" s="19">
        <v>45740</v>
      </c>
      <c r="C202" s="128" t="s">
        <v>5</v>
      </c>
      <c r="D202" s="103" t="s">
        <v>115</v>
      </c>
      <c r="E202" s="24" t="s">
        <v>6</v>
      </c>
      <c r="F202" s="24" t="s">
        <v>7</v>
      </c>
      <c r="G202" s="40">
        <f>3*8*2.5</f>
        <v>60</v>
      </c>
      <c r="H202" s="128">
        <f>2+1</f>
        <v>3</v>
      </c>
      <c r="I202" s="128">
        <v>1</v>
      </c>
      <c r="J202" s="148"/>
      <c r="K202" s="149"/>
      <c r="L202" s="150"/>
      <c r="M202" s="21"/>
      <c r="O202" s="138"/>
      <c r="P202" s="135"/>
    </row>
    <row r="203" spans="1:16" ht="13.5" customHeight="1" x14ac:dyDescent="0.25">
      <c r="A203" s="22">
        <v>157</v>
      </c>
      <c r="B203" s="19">
        <v>45740</v>
      </c>
      <c r="C203" s="128" t="s">
        <v>5</v>
      </c>
      <c r="D203" s="103" t="s">
        <v>116</v>
      </c>
      <c r="E203" s="24" t="s">
        <v>6</v>
      </c>
      <c r="F203" s="24" t="s">
        <v>7</v>
      </c>
      <c r="G203" s="24">
        <f>2*7.5*3.5</f>
        <v>52.5</v>
      </c>
      <c r="H203" s="128">
        <f>1+1</f>
        <v>2</v>
      </c>
      <c r="I203" s="128">
        <v>1</v>
      </c>
      <c r="J203" s="148"/>
      <c r="K203" s="149"/>
      <c r="L203" s="150"/>
      <c r="M203" s="21"/>
      <c r="O203" s="138"/>
      <c r="P203" s="135"/>
    </row>
    <row r="204" spans="1:16" ht="13.5" customHeight="1" x14ac:dyDescent="0.25">
      <c r="A204" s="42">
        <v>158</v>
      </c>
      <c r="B204" s="19">
        <v>45740</v>
      </c>
      <c r="C204" s="128" t="s">
        <v>5</v>
      </c>
      <c r="D204" s="103" t="s">
        <v>117</v>
      </c>
      <c r="E204" s="24" t="s">
        <v>6</v>
      </c>
      <c r="F204" s="24" t="s">
        <v>7</v>
      </c>
      <c r="G204" s="24">
        <f>(22*2.8*7)+(2*4.8*7)</f>
        <v>498.39999999999992</v>
      </c>
      <c r="H204" s="128">
        <f>21+3</f>
        <v>24</v>
      </c>
      <c r="I204" s="128">
        <v>3</v>
      </c>
      <c r="J204" s="148"/>
      <c r="K204" s="149"/>
      <c r="L204" s="150"/>
      <c r="M204" s="21"/>
      <c r="O204" s="138"/>
      <c r="P204" s="135"/>
    </row>
    <row r="205" spans="1:16" ht="13.5" customHeight="1" x14ac:dyDescent="0.25">
      <c r="A205" s="22">
        <v>159</v>
      </c>
      <c r="B205" s="19">
        <v>45740</v>
      </c>
      <c r="C205" s="128" t="s">
        <v>5</v>
      </c>
      <c r="D205" s="103" t="s">
        <v>118</v>
      </c>
      <c r="E205" s="24" t="s">
        <v>6</v>
      </c>
      <c r="F205" s="24" t="s">
        <v>7</v>
      </c>
      <c r="G205" s="24">
        <f>(39.5*2.5)+(15*2.5)</f>
        <v>136.25</v>
      </c>
      <c r="H205" s="128">
        <f>4+1+2</f>
        <v>7</v>
      </c>
      <c r="I205" s="128">
        <v>1</v>
      </c>
      <c r="J205" s="148"/>
      <c r="K205" s="149"/>
      <c r="L205" s="150"/>
      <c r="M205" s="21"/>
      <c r="O205" s="138"/>
      <c r="P205" s="135"/>
    </row>
    <row r="206" spans="1:16" ht="13.5" customHeight="1" x14ac:dyDescent="0.25">
      <c r="A206" s="22">
        <v>160</v>
      </c>
      <c r="B206" s="19">
        <v>45740</v>
      </c>
      <c r="C206" s="128" t="s">
        <v>5</v>
      </c>
      <c r="D206" s="103" t="s">
        <v>119</v>
      </c>
      <c r="E206" s="24" t="s">
        <v>6</v>
      </c>
      <c r="F206" s="24" t="s">
        <v>7</v>
      </c>
      <c r="G206" s="24">
        <f>(17*2.6*6)+(3*4*6)</f>
        <v>337.20000000000005</v>
      </c>
      <c r="H206" s="128">
        <f>18+2</f>
        <v>20</v>
      </c>
      <c r="I206" s="128">
        <v>2</v>
      </c>
      <c r="J206" s="148"/>
      <c r="K206" s="149"/>
      <c r="L206" s="150"/>
      <c r="M206" s="21"/>
      <c r="O206" s="138"/>
      <c r="P206" s="135"/>
    </row>
    <row r="207" spans="1:16" ht="13.5" customHeight="1" thickBot="1" x14ac:dyDescent="0.3">
      <c r="A207" s="18">
        <v>161</v>
      </c>
      <c r="B207" s="33">
        <v>45740</v>
      </c>
      <c r="C207" s="34" t="s">
        <v>5</v>
      </c>
      <c r="D207" s="104" t="s">
        <v>120</v>
      </c>
      <c r="E207" s="28" t="s">
        <v>6</v>
      </c>
      <c r="F207" s="28" t="s">
        <v>7</v>
      </c>
      <c r="G207" s="28">
        <f>84*4.4</f>
        <v>369.6</v>
      </c>
      <c r="H207" s="34">
        <f>19+3</f>
        <v>22</v>
      </c>
      <c r="I207" s="34">
        <v>3</v>
      </c>
      <c r="J207" s="148"/>
      <c r="K207" s="149"/>
      <c r="L207" s="150"/>
      <c r="M207" s="35"/>
      <c r="O207" s="138"/>
      <c r="P207" s="135"/>
    </row>
    <row r="208" spans="1:16" ht="13.5" customHeight="1" thickBot="1" x14ac:dyDescent="0.3">
      <c r="A208" s="151" t="s">
        <v>429</v>
      </c>
      <c r="B208" s="152"/>
      <c r="C208" s="152"/>
      <c r="D208" s="152"/>
      <c r="E208" s="152"/>
      <c r="F208" s="152"/>
      <c r="G208" s="12"/>
      <c r="H208" s="12"/>
      <c r="I208" s="12"/>
      <c r="J208" s="12"/>
      <c r="K208" s="12"/>
      <c r="L208" s="12"/>
      <c r="M208" s="13"/>
      <c r="O208" s="138"/>
      <c r="P208" s="135"/>
    </row>
    <row r="209" spans="1:16" ht="13.5" customHeight="1" x14ac:dyDescent="0.25">
      <c r="A209" s="61">
        <v>162</v>
      </c>
      <c r="B209" s="15">
        <v>45740</v>
      </c>
      <c r="C209" s="16" t="s">
        <v>5</v>
      </c>
      <c r="D209" s="45" t="s">
        <v>213</v>
      </c>
      <c r="E209" s="16" t="s">
        <v>6</v>
      </c>
      <c r="F209" s="16" t="s">
        <v>7</v>
      </c>
      <c r="G209" s="64">
        <f>(31*5)</f>
        <v>155</v>
      </c>
      <c r="H209" s="16">
        <f>9+1</f>
        <v>10</v>
      </c>
      <c r="I209" s="16">
        <v>1</v>
      </c>
      <c r="J209" s="145" t="s">
        <v>443</v>
      </c>
      <c r="K209" s="146"/>
      <c r="L209" s="147"/>
      <c r="M209" s="17"/>
      <c r="O209" s="138"/>
      <c r="P209" s="135"/>
    </row>
    <row r="210" spans="1:16" ht="13.5" customHeight="1" x14ac:dyDescent="0.25">
      <c r="A210" s="18">
        <v>163</v>
      </c>
      <c r="B210" s="19">
        <v>45740</v>
      </c>
      <c r="C210" s="128" t="s">
        <v>5</v>
      </c>
      <c r="D210" s="46" t="s">
        <v>214</v>
      </c>
      <c r="E210" s="128" t="s">
        <v>6</v>
      </c>
      <c r="F210" s="128" t="s">
        <v>7</v>
      </c>
      <c r="G210" s="40">
        <f>(7*3.5*7.5)+(1*3.5*7.5)-3.5*2</f>
        <v>203</v>
      </c>
      <c r="H210" s="128">
        <f>7+1</f>
        <v>8</v>
      </c>
      <c r="I210" s="128">
        <v>1</v>
      </c>
      <c r="J210" s="148"/>
      <c r="K210" s="149"/>
      <c r="L210" s="150"/>
      <c r="M210" s="21"/>
      <c r="O210" s="138"/>
      <c r="P210" s="135"/>
    </row>
    <row r="211" spans="1:16" ht="13.5" customHeight="1" x14ac:dyDescent="0.25">
      <c r="A211" s="18">
        <v>164</v>
      </c>
      <c r="B211" s="19">
        <v>45740</v>
      </c>
      <c r="C211" s="128" t="s">
        <v>5</v>
      </c>
      <c r="D211" s="46" t="s">
        <v>215</v>
      </c>
      <c r="E211" s="128" t="s">
        <v>6</v>
      </c>
      <c r="F211" s="128" t="s">
        <v>7</v>
      </c>
      <c r="G211" s="24">
        <f>(26*2.7*7)+(3*4*7)</f>
        <v>575.40000000000009</v>
      </c>
      <c r="H211" s="128">
        <f>26+3</f>
        <v>29</v>
      </c>
      <c r="I211" s="128">
        <v>3</v>
      </c>
      <c r="J211" s="148"/>
      <c r="K211" s="149"/>
      <c r="L211" s="150"/>
      <c r="M211" s="21"/>
      <c r="O211" s="138"/>
      <c r="P211" s="135"/>
    </row>
    <row r="212" spans="1:16" ht="13.5" customHeight="1" x14ac:dyDescent="0.25">
      <c r="A212" s="18">
        <v>165</v>
      </c>
      <c r="B212" s="19">
        <v>45740</v>
      </c>
      <c r="C212" s="128" t="s">
        <v>5</v>
      </c>
      <c r="D212" s="46" t="s">
        <v>216</v>
      </c>
      <c r="E212" s="128" t="s">
        <v>6</v>
      </c>
      <c r="F212" s="128" t="s">
        <v>7</v>
      </c>
      <c r="G212" s="24">
        <f>(15*2.5*(5+6))+(2*4*(6+5))</f>
        <v>500.5</v>
      </c>
      <c r="H212" s="128">
        <f>15+2</f>
        <v>17</v>
      </c>
      <c r="I212" s="128">
        <v>2</v>
      </c>
      <c r="J212" s="148"/>
      <c r="K212" s="149"/>
      <c r="L212" s="150"/>
      <c r="M212" s="21"/>
      <c r="O212" s="138"/>
      <c r="P212" s="135"/>
    </row>
    <row r="213" spans="1:16" ht="13.5" customHeight="1" thickBot="1" x14ac:dyDescent="0.3">
      <c r="A213" s="32">
        <v>166</v>
      </c>
      <c r="B213" s="33">
        <v>45740</v>
      </c>
      <c r="C213" s="34" t="s">
        <v>5</v>
      </c>
      <c r="D213" s="105" t="s">
        <v>217</v>
      </c>
      <c r="E213" s="34" t="s">
        <v>6</v>
      </c>
      <c r="F213" s="34" t="s">
        <v>7</v>
      </c>
      <c r="G213" s="67">
        <f>((10*2.5)+(2*3.6))*(5+5)</f>
        <v>322</v>
      </c>
      <c r="H213" s="34">
        <f>10+2</f>
        <v>12</v>
      </c>
      <c r="I213" s="34">
        <v>2</v>
      </c>
      <c r="J213" s="148"/>
      <c r="K213" s="149"/>
      <c r="L213" s="150"/>
      <c r="M213" s="35"/>
      <c r="O213" s="138"/>
      <c r="P213" s="135"/>
    </row>
    <row r="214" spans="1:16" ht="13.5" customHeight="1" thickBot="1" x14ac:dyDescent="0.3">
      <c r="A214" s="151" t="s">
        <v>218</v>
      </c>
      <c r="B214" s="152"/>
      <c r="C214" s="152"/>
      <c r="D214" s="152"/>
      <c r="E214" s="152"/>
      <c r="F214" s="152"/>
      <c r="G214" s="12"/>
      <c r="H214" s="12"/>
      <c r="I214" s="12"/>
      <c r="J214" s="12"/>
      <c r="K214" s="12"/>
      <c r="L214" s="12"/>
      <c r="M214" s="13"/>
      <c r="O214" s="138"/>
      <c r="P214" s="135"/>
    </row>
    <row r="215" spans="1:16" ht="13.5" customHeight="1" x14ac:dyDescent="0.25">
      <c r="A215" s="61">
        <v>167</v>
      </c>
      <c r="B215" s="15">
        <v>45742</v>
      </c>
      <c r="C215" s="16" t="s">
        <v>5</v>
      </c>
      <c r="D215" s="45" t="s">
        <v>219</v>
      </c>
      <c r="E215" s="16" t="s">
        <v>6</v>
      </c>
      <c r="F215" s="16" t="s">
        <v>7</v>
      </c>
      <c r="G215" s="41">
        <f>(29.5*12)</f>
        <v>354</v>
      </c>
      <c r="H215" s="16">
        <f>8+1</f>
        <v>9</v>
      </c>
      <c r="I215" s="16">
        <v>1</v>
      </c>
      <c r="J215" s="145" t="s">
        <v>443</v>
      </c>
      <c r="K215" s="146"/>
      <c r="L215" s="147"/>
      <c r="M215" s="17"/>
      <c r="O215" s="138"/>
      <c r="P215" s="135"/>
    </row>
    <row r="216" spans="1:16" ht="13.5" customHeight="1" x14ac:dyDescent="0.25">
      <c r="A216" s="18">
        <v>168</v>
      </c>
      <c r="B216" s="19">
        <v>45742</v>
      </c>
      <c r="C216" s="128" t="s">
        <v>5</v>
      </c>
      <c r="D216" s="46" t="s">
        <v>220</v>
      </c>
      <c r="E216" s="128" t="s">
        <v>6</v>
      </c>
      <c r="F216" s="128" t="s">
        <v>7</v>
      </c>
      <c r="G216" s="43">
        <f>(41*12)+(14*6)</f>
        <v>576</v>
      </c>
      <c r="H216" s="128">
        <f>12+2</f>
        <v>14</v>
      </c>
      <c r="I216" s="128">
        <v>2</v>
      </c>
      <c r="J216" s="148"/>
      <c r="K216" s="149"/>
      <c r="L216" s="150"/>
      <c r="M216" s="21"/>
      <c r="O216" s="138"/>
      <c r="P216" s="135"/>
    </row>
    <row r="217" spans="1:16" ht="13.5" customHeight="1" x14ac:dyDescent="0.25">
      <c r="A217" s="18">
        <v>169</v>
      </c>
      <c r="B217" s="19">
        <v>45742</v>
      </c>
      <c r="C217" s="128" t="s">
        <v>5</v>
      </c>
      <c r="D217" s="46" t="s">
        <v>221</v>
      </c>
      <c r="E217" s="128" t="s">
        <v>6</v>
      </c>
      <c r="F217" s="128" t="s">
        <v>7</v>
      </c>
      <c r="G217" s="44">
        <f>21*3</f>
        <v>63</v>
      </c>
      <c r="H217" s="128">
        <f>1+1</f>
        <v>2</v>
      </c>
      <c r="I217" s="128">
        <v>1</v>
      </c>
      <c r="J217" s="148"/>
      <c r="K217" s="149"/>
      <c r="L217" s="150"/>
      <c r="M217" s="21"/>
      <c r="O217" s="138"/>
      <c r="P217" s="135"/>
    </row>
    <row r="218" spans="1:16" ht="13.5" customHeight="1" x14ac:dyDescent="0.25">
      <c r="A218" s="18">
        <v>170</v>
      </c>
      <c r="B218" s="19">
        <v>45742</v>
      </c>
      <c r="C218" s="128" t="s">
        <v>5</v>
      </c>
      <c r="D218" s="46" t="s">
        <v>222</v>
      </c>
      <c r="E218" s="128" t="s">
        <v>6</v>
      </c>
      <c r="F218" s="128" t="s">
        <v>7</v>
      </c>
      <c r="G218" s="128">
        <f>(4*8*2.5)+(1*8*2.5)</f>
        <v>100</v>
      </c>
      <c r="H218" s="128">
        <f>4+1</f>
        <v>5</v>
      </c>
      <c r="I218" s="128">
        <v>1</v>
      </c>
      <c r="J218" s="148"/>
      <c r="K218" s="149"/>
      <c r="L218" s="150"/>
      <c r="M218" s="21"/>
      <c r="O218" s="138"/>
      <c r="P218" s="135"/>
    </row>
    <row r="219" spans="1:16" ht="13.5" customHeight="1" x14ac:dyDescent="0.25">
      <c r="A219" s="18">
        <v>171</v>
      </c>
      <c r="B219" s="19">
        <v>45742</v>
      </c>
      <c r="C219" s="128" t="s">
        <v>5</v>
      </c>
      <c r="D219" s="46" t="s">
        <v>223</v>
      </c>
      <c r="E219" s="128" t="s">
        <v>6</v>
      </c>
      <c r="F219" s="128" t="s">
        <v>7</v>
      </c>
      <c r="G219" s="128">
        <f>(4*7.5*3.5)+(1*7.5*3.5)</f>
        <v>131.25</v>
      </c>
      <c r="H219" s="128">
        <f>4+1</f>
        <v>5</v>
      </c>
      <c r="I219" s="128">
        <v>1</v>
      </c>
      <c r="J219" s="148"/>
      <c r="K219" s="149"/>
      <c r="L219" s="150"/>
      <c r="M219" s="21"/>
      <c r="O219" s="138"/>
      <c r="P219" s="135"/>
    </row>
    <row r="220" spans="1:16" ht="13.5" customHeight="1" thickBot="1" x14ac:dyDescent="0.3">
      <c r="A220" s="32">
        <v>172</v>
      </c>
      <c r="B220" s="33">
        <v>45742</v>
      </c>
      <c r="C220" s="34" t="s">
        <v>5</v>
      </c>
      <c r="D220" s="105" t="s">
        <v>224</v>
      </c>
      <c r="E220" s="34" t="s">
        <v>6</v>
      </c>
      <c r="F220" s="34" t="s">
        <v>7</v>
      </c>
      <c r="G220" s="67">
        <f>(4*3.5*5)+(1*4*5)</f>
        <v>90</v>
      </c>
      <c r="H220" s="34">
        <f>4+1</f>
        <v>5</v>
      </c>
      <c r="I220" s="34">
        <v>1</v>
      </c>
      <c r="J220" s="153"/>
      <c r="K220" s="154"/>
      <c r="L220" s="155"/>
      <c r="M220" s="35"/>
      <c r="O220" s="138"/>
      <c r="P220" s="135"/>
    </row>
    <row r="221" spans="1:16" ht="13.5" customHeight="1" thickBot="1" x14ac:dyDescent="0.3">
      <c r="A221" s="151" t="s">
        <v>430</v>
      </c>
      <c r="B221" s="152"/>
      <c r="C221" s="152"/>
      <c r="D221" s="152"/>
      <c r="E221" s="152"/>
      <c r="F221" s="152"/>
      <c r="G221" s="12"/>
      <c r="H221" s="12"/>
      <c r="I221" s="12"/>
      <c r="J221" s="12"/>
      <c r="K221" s="12"/>
      <c r="L221" s="12"/>
      <c r="M221" s="13"/>
      <c r="O221" s="138"/>
      <c r="P221" s="135"/>
    </row>
    <row r="222" spans="1:16" ht="21.75" customHeight="1" thickBot="1" x14ac:dyDescent="0.3">
      <c r="A222" s="14">
        <v>173</v>
      </c>
      <c r="B222" s="15">
        <v>45742</v>
      </c>
      <c r="C222" s="16" t="s">
        <v>5</v>
      </c>
      <c r="D222" s="45" t="s">
        <v>121</v>
      </c>
      <c r="E222" s="16" t="s">
        <v>6</v>
      </c>
      <c r="F222" s="16" t="s">
        <v>7</v>
      </c>
      <c r="G222" s="53">
        <f>(8*3.5*5)+(1*4*5)</f>
        <v>160</v>
      </c>
      <c r="H222" s="16">
        <f>8+1</f>
        <v>9</v>
      </c>
      <c r="I222" s="16">
        <v>1</v>
      </c>
      <c r="J222" s="145" t="s">
        <v>443</v>
      </c>
      <c r="K222" s="146"/>
      <c r="L222" s="147"/>
      <c r="M222" s="17"/>
      <c r="O222" s="138"/>
      <c r="P222" s="135"/>
    </row>
    <row r="223" spans="1:16" ht="13.5" customHeight="1" thickBot="1" x14ac:dyDescent="0.3">
      <c r="A223" s="151" t="s">
        <v>431</v>
      </c>
      <c r="B223" s="152"/>
      <c r="C223" s="152"/>
      <c r="D223" s="152"/>
      <c r="E223" s="152"/>
      <c r="F223" s="36"/>
      <c r="G223" s="36"/>
      <c r="H223" s="36"/>
      <c r="I223" s="36"/>
      <c r="J223" s="36"/>
      <c r="K223" s="36"/>
      <c r="L223" s="36"/>
      <c r="M223" s="37"/>
      <c r="O223" s="138"/>
      <c r="P223" s="135"/>
    </row>
    <row r="224" spans="1:16" ht="13.5" customHeight="1" x14ac:dyDescent="0.25">
      <c r="A224" s="18">
        <v>174</v>
      </c>
      <c r="B224" s="19">
        <v>45748</v>
      </c>
      <c r="C224" s="128" t="s">
        <v>5</v>
      </c>
      <c r="D224" s="46" t="s">
        <v>10</v>
      </c>
      <c r="E224" s="128" t="s">
        <v>6</v>
      </c>
      <c r="F224" s="128" t="s">
        <v>7</v>
      </c>
      <c r="G224" s="128">
        <f>(7*8*2.5)+(1*8*3.7)</f>
        <v>169.6</v>
      </c>
      <c r="H224" s="128">
        <v>8</v>
      </c>
      <c r="I224" s="128">
        <v>1</v>
      </c>
      <c r="J224" s="148" t="s">
        <v>443</v>
      </c>
      <c r="K224" s="149"/>
      <c r="L224" s="150"/>
      <c r="M224" s="68"/>
      <c r="O224" s="138"/>
      <c r="P224" s="135"/>
    </row>
    <row r="225" spans="1:16" ht="13.5" customHeight="1" x14ac:dyDescent="0.25">
      <c r="A225" s="42">
        <v>175</v>
      </c>
      <c r="B225" s="48">
        <v>45748</v>
      </c>
      <c r="C225" s="129" t="s">
        <v>5</v>
      </c>
      <c r="D225" s="107" t="s">
        <v>11</v>
      </c>
      <c r="E225" s="129" t="s">
        <v>6</v>
      </c>
      <c r="F225" s="129" t="s">
        <v>7</v>
      </c>
      <c r="G225" s="129">
        <f>(10*8.5*2.5)+(1*9*3.7)</f>
        <v>245.8</v>
      </c>
      <c r="H225" s="129">
        <v>11</v>
      </c>
      <c r="I225" s="129">
        <v>1</v>
      </c>
      <c r="J225" s="148"/>
      <c r="K225" s="149"/>
      <c r="L225" s="150"/>
      <c r="M225" s="69"/>
      <c r="O225" s="138"/>
      <c r="P225" s="135"/>
    </row>
    <row r="226" spans="1:16" ht="13.5" customHeight="1" x14ac:dyDescent="0.25">
      <c r="A226" s="42">
        <v>176</v>
      </c>
      <c r="B226" s="48">
        <v>45748</v>
      </c>
      <c r="C226" s="129" t="s">
        <v>5</v>
      </c>
      <c r="D226" s="107" t="s">
        <v>12</v>
      </c>
      <c r="E226" s="129" t="s">
        <v>6</v>
      </c>
      <c r="F226" s="129" t="s">
        <v>7</v>
      </c>
      <c r="G226" s="43">
        <f>3*8*2.5</f>
        <v>60</v>
      </c>
      <c r="H226" s="129">
        <f>2+1</f>
        <v>3</v>
      </c>
      <c r="I226" s="129">
        <v>1</v>
      </c>
      <c r="J226" s="148"/>
      <c r="K226" s="149"/>
      <c r="L226" s="150"/>
      <c r="M226" s="69"/>
      <c r="O226" s="138"/>
      <c r="P226" s="135"/>
    </row>
    <row r="227" spans="1:16" ht="13.5" customHeight="1" x14ac:dyDescent="0.25">
      <c r="A227" s="42">
        <v>177</v>
      </c>
      <c r="B227" s="48">
        <v>45748</v>
      </c>
      <c r="C227" s="129" t="s">
        <v>5</v>
      </c>
      <c r="D227" s="107" t="s">
        <v>13</v>
      </c>
      <c r="E227" s="129" t="s">
        <v>6</v>
      </c>
      <c r="F227" s="129" t="s">
        <v>7</v>
      </c>
      <c r="G227" s="129">
        <f>(25*7.5*2.5)+(7.5*3.7)</f>
        <v>496.5</v>
      </c>
      <c r="H227" s="129">
        <f>23+3</f>
        <v>26</v>
      </c>
      <c r="I227" s="129">
        <v>3</v>
      </c>
      <c r="J227" s="148"/>
      <c r="K227" s="149"/>
      <c r="L227" s="150"/>
      <c r="M227" s="69"/>
      <c r="O227" s="138"/>
      <c r="P227" s="135"/>
    </row>
    <row r="228" spans="1:16" ht="13.5" customHeight="1" x14ac:dyDescent="0.25">
      <c r="A228" s="42">
        <v>178</v>
      </c>
      <c r="B228" s="48">
        <v>45748</v>
      </c>
      <c r="C228" s="129" t="s">
        <v>5</v>
      </c>
      <c r="D228" s="107" t="s">
        <v>14</v>
      </c>
      <c r="E228" s="129" t="s">
        <v>6</v>
      </c>
      <c r="F228" s="129" t="s">
        <v>7</v>
      </c>
      <c r="G228" s="129">
        <f>(23*5.3)+(48.5*5.3)+(4*6.5)</f>
        <v>404.95</v>
      </c>
      <c r="H228" s="129">
        <f>16+2</f>
        <v>18</v>
      </c>
      <c r="I228" s="129">
        <v>2</v>
      </c>
      <c r="J228" s="148"/>
      <c r="K228" s="149"/>
      <c r="L228" s="150"/>
      <c r="M228" s="69"/>
      <c r="O228" s="138"/>
      <c r="P228" s="135"/>
    </row>
    <row r="229" spans="1:16" ht="13.5" customHeight="1" x14ac:dyDescent="0.25">
      <c r="A229" s="42">
        <v>179</v>
      </c>
      <c r="B229" s="48">
        <v>45748</v>
      </c>
      <c r="C229" s="129" t="s">
        <v>5</v>
      </c>
      <c r="D229" s="106" t="s">
        <v>453</v>
      </c>
      <c r="E229" s="70" t="s">
        <v>6</v>
      </c>
      <c r="F229" s="70" t="s">
        <v>7</v>
      </c>
      <c r="G229" s="70">
        <f>(37.5*6)+(40*6)</f>
        <v>465</v>
      </c>
      <c r="H229" s="49">
        <f>(12*2)+(13+2)</f>
        <v>39</v>
      </c>
      <c r="I229" s="49">
        <v>4</v>
      </c>
      <c r="J229" s="148"/>
      <c r="K229" s="149"/>
      <c r="L229" s="150"/>
      <c r="M229" s="69"/>
      <c r="O229" s="138"/>
      <c r="P229" s="135"/>
    </row>
    <row r="230" spans="1:16" ht="13.5" customHeight="1" x14ac:dyDescent="0.25">
      <c r="A230" s="42">
        <v>180</v>
      </c>
      <c r="B230" s="48">
        <v>45748</v>
      </c>
      <c r="C230" s="129" t="s">
        <v>5</v>
      </c>
      <c r="D230" s="110" t="s">
        <v>15</v>
      </c>
      <c r="E230" s="71" t="s">
        <v>6</v>
      </c>
      <c r="F230" s="71" t="s">
        <v>7</v>
      </c>
      <c r="G230" s="72">
        <f>(8*8.5*3.7)</f>
        <v>251.60000000000002</v>
      </c>
      <c r="H230" s="129">
        <v>8</v>
      </c>
      <c r="I230" s="129">
        <v>1</v>
      </c>
      <c r="J230" s="148"/>
      <c r="K230" s="149"/>
      <c r="L230" s="150"/>
      <c r="M230" s="69"/>
      <c r="O230" s="138"/>
      <c r="P230" s="135"/>
    </row>
    <row r="231" spans="1:16" ht="13.5" customHeight="1" x14ac:dyDescent="0.25">
      <c r="A231" s="42">
        <v>181</v>
      </c>
      <c r="B231" s="48">
        <v>45748</v>
      </c>
      <c r="C231" s="73" t="s">
        <v>5</v>
      </c>
      <c r="D231" s="106" t="s">
        <v>16</v>
      </c>
      <c r="E231" s="49" t="s">
        <v>6</v>
      </c>
      <c r="F231" s="49" t="s">
        <v>7</v>
      </c>
      <c r="G231" s="49">
        <f>(4*7.5*2.2)+(1*7.5*3)</f>
        <v>88.5</v>
      </c>
      <c r="H231" s="74">
        <v>5</v>
      </c>
      <c r="I231" s="49">
        <v>1</v>
      </c>
      <c r="J231" s="148"/>
      <c r="K231" s="149"/>
      <c r="L231" s="150"/>
      <c r="M231" s="75"/>
      <c r="O231" s="138"/>
      <c r="P231" s="135"/>
    </row>
    <row r="232" spans="1:16" ht="13.5" customHeight="1" x14ac:dyDescent="0.25">
      <c r="A232" s="42">
        <v>182</v>
      </c>
      <c r="B232" s="48">
        <v>45748</v>
      </c>
      <c r="C232" s="73" t="s">
        <v>5</v>
      </c>
      <c r="D232" s="106" t="s">
        <v>465</v>
      </c>
      <c r="E232" s="49" t="s">
        <v>6</v>
      </c>
      <c r="F232" s="49" t="s">
        <v>7</v>
      </c>
      <c r="G232" s="49">
        <f>(5*2.5*7.5)+(1*3.7*7.5)</f>
        <v>121.5</v>
      </c>
      <c r="H232" s="74">
        <v>6</v>
      </c>
      <c r="I232" s="49">
        <v>1</v>
      </c>
      <c r="J232" s="148"/>
      <c r="K232" s="149"/>
      <c r="L232" s="150"/>
      <c r="M232" s="75"/>
      <c r="O232" s="138"/>
      <c r="P232" s="135"/>
    </row>
    <row r="233" spans="1:16" ht="13.5" customHeight="1" x14ac:dyDescent="0.25">
      <c r="A233" s="42">
        <v>183</v>
      </c>
      <c r="B233" s="48">
        <v>45748</v>
      </c>
      <c r="C233" s="73" t="s">
        <v>5</v>
      </c>
      <c r="D233" s="106" t="s">
        <v>17</v>
      </c>
      <c r="E233" s="49" t="s">
        <v>6</v>
      </c>
      <c r="F233" s="49" t="s">
        <v>7</v>
      </c>
      <c r="G233" s="55">
        <f>(7*2.5*7.5)+(1*3.7*7.5)</f>
        <v>159</v>
      </c>
      <c r="H233" s="74">
        <v>8</v>
      </c>
      <c r="I233" s="49">
        <v>1</v>
      </c>
      <c r="J233" s="148"/>
      <c r="K233" s="149"/>
      <c r="L233" s="150"/>
      <c r="M233" s="75"/>
      <c r="O233" s="138"/>
      <c r="P233" s="135"/>
    </row>
    <row r="234" spans="1:16" ht="13.5" customHeight="1" x14ac:dyDescent="0.25">
      <c r="A234" s="42">
        <v>184</v>
      </c>
      <c r="B234" s="48">
        <v>45748</v>
      </c>
      <c r="C234" s="73" t="s">
        <v>5</v>
      </c>
      <c r="D234" s="106" t="s">
        <v>18</v>
      </c>
      <c r="E234" s="49" t="s">
        <v>6</v>
      </c>
      <c r="F234" s="49" t="s">
        <v>7</v>
      </c>
      <c r="G234" s="55">
        <f>(7*2.5*7.5)+(1*3.7*7.5)</f>
        <v>159</v>
      </c>
      <c r="H234" s="74">
        <v>8</v>
      </c>
      <c r="I234" s="49">
        <v>1</v>
      </c>
      <c r="J234" s="148"/>
      <c r="K234" s="149"/>
      <c r="L234" s="150"/>
      <c r="M234" s="75"/>
      <c r="O234" s="138"/>
      <c r="P234" s="135"/>
    </row>
    <row r="235" spans="1:16" ht="13.5" customHeight="1" x14ac:dyDescent="0.25">
      <c r="A235" s="42">
        <v>185</v>
      </c>
      <c r="B235" s="48">
        <v>45748</v>
      </c>
      <c r="C235" s="73" t="s">
        <v>5</v>
      </c>
      <c r="D235" s="106" t="s">
        <v>9</v>
      </c>
      <c r="E235" s="49" t="s">
        <v>6</v>
      </c>
      <c r="F235" s="49" t="s">
        <v>7</v>
      </c>
      <c r="G235" s="49">
        <f>(5*2.5*7.5)+(1*3.7*7.5)</f>
        <v>121.5</v>
      </c>
      <c r="H235" s="74">
        <v>6</v>
      </c>
      <c r="I235" s="49">
        <v>1</v>
      </c>
      <c r="J235" s="148"/>
      <c r="K235" s="149"/>
      <c r="L235" s="150"/>
      <c r="M235" s="75"/>
      <c r="O235" s="138"/>
      <c r="P235" s="135"/>
    </row>
    <row r="236" spans="1:16" ht="13.5" customHeight="1" x14ac:dyDescent="0.25">
      <c r="A236" s="42">
        <v>186</v>
      </c>
      <c r="B236" s="48">
        <v>45748</v>
      </c>
      <c r="C236" s="129" t="s">
        <v>5</v>
      </c>
      <c r="D236" s="46" t="s">
        <v>19</v>
      </c>
      <c r="E236" s="128" t="s">
        <v>6</v>
      </c>
      <c r="F236" s="128" t="s">
        <v>7</v>
      </c>
      <c r="G236" s="128">
        <f>5.3*32.5</f>
        <v>172.25</v>
      </c>
      <c r="H236" s="129">
        <f>7+1</f>
        <v>8</v>
      </c>
      <c r="I236" s="129">
        <v>1</v>
      </c>
      <c r="J236" s="148"/>
      <c r="K236" s="149"/>
      <c r="L236" s="150"/>
      <c r="M236" s="69"/>
      <c r="O236" s="138"/>
      <c r="P236" s="135"/>
    </row>
    <row r="237" spans="1:16" ht="13.5" customHeight="1" x14ac:dyDescent="0.25">
      <c r="A237" s="42">
        <v>187</v>
      </c>
      <c r="B237" s="48">
        <v>45748</v>
      </c>
      <c r="C237" s="129" t="s">
        <v>5</v>
      </c>
      <c r="D237" s="107" t="s">
        <v>20</v>
      </c>
      <c r="E237" s="129" t="s">
        <v>6</v>
      </c>
      <c r="F237" s="129" t="s">
        <v>7</v>
      </c>
      <c r="G237" s="129">
        <f>57*5.3</f>
        <v>302.09999999999997</v>
      </c>
      <c r="H237" s="129">
        <f>13+2</f>
        <v>15</v>
      </c>
      <c r="I237" s="129">
        <v>2</v>
      </c>
      <c r="J237" s="148"/>
      <c r="K237" s="149"/>
      <c r="L237" s="150"/>
      <c r="M237" s="69"/>
      <c r="O237" s="138"/>
      <c r="P237" s="135"/>
    </row>
    <row r="238" spans="1:16" ht="13.5" customHeight="1" x14ac:dyDescent="0.25">
      <c r="A238" s="42">
        <v>188</v>
      </c>
      <c r="B238" s="48">
        <v>45748</v>
      </c>
      <c r="C238" s="129" t="s">
        <v>5</v>
      </c>
      <c r="D238" s="107" t="s">
        <v>21</v>
      </c>
      <c r="E238" s="129" t="s">
        <v>6</v>
      </c>
      <c r="F238" s="129" t="s">
        <v>7</v>
      </c>
      <c r="G238" s="129">
        <f>(22*5.3)+(15*5.3)+(4*6.8)</f>
        <v>223.29999999999998</v>
      </c>
      <c r="H238" s="129">
        <v>9</v>
      </c>
      <c r="I238" s="129">
        <v>1</v>
      </c>
      <c r="J238" s="148"/>
      <c r="K238" s="149"/>
      <c r="L238" s="150"/>
      <c r="M238" s="69"/>
      <c r="O238" s="138"/>
      <c r="P238" s="135"/>
    </row>
    <row r="239" spans="1:16" ht="13.5" customHeight="1" x14ac:dyDescent="0.25">
      <c r="A239" s="42">
        <v>189</v>
      </c>
      <c r="B239" s="48">
        <v>45748</v>
      </c>
      <c r="C239" s="129" t="s">
        <v>5</v>
      </c>
      <c r="D239" s="107" t="s">
        <v>22</v>
      </c>
      <c r="E239" s="129" t="s">
        <v>6</v>
      </c>
      <c r="F239" s="129" t="s">
        <v>7</v>
      </c>
      <c r="G239" s="129">
        <f>(30*5.3)+(22.7*5.3)+(4*6.5)</f>
        <v>305.31</v>
      </c>
      <c r="H239" s="129">
        <f>11+2</f>
        <v>13</v>
      </c>
      <c r="I239" s="129">
        <v>2</v>
      </c>
      <c r="J239" s="148"/>
      <c r="K239" s="149"/>
      <c r="L239" s="150"/>
      <c r="M239" s="69"/>
      <c r="O239" s="138"/>
      <c r="P239" s="135"/>
    </row>
    <row r="240" spans="1:16" ht="13.5" customHeight="1" x14ac:dyDescent="0.25">
      <c r="A240" s="42">
        <v>190</v>
      </c>
      <c r="B240" s="48">
        <v>45748</v>
      </c>
      <c r="C240" s="129" t="s">
        <v>5</v>
      </c>
      <c r="D240" s="107" t="s">
        <v>23</v>
      </c>
      <c r="E240" s="129" t="s">
        <v>6</v>
      </c>
      <c r="F240" s="129" t="s">
        <v>7</v>
      </c>
      <c r="G240" s="43">
        <f>28*5</f>
        <v>140</v>
      </c>
      <c r="H240" s="129">
        <f>3+1</f>
        <v>4</v>
      </c>
      <c r="I240" s="129">
        <v>1</v>
      </c>
      <c r="J240" s="148"/>
      <c r="K240" s="149"/>
      <c r="L240" s="150"/>
      <c r="M240" s="69"/>
      <c r="O240" s="138"/>
      <c r="P240" s="135"/>
    </row>
    <row r="241" spans="1:16" ht="13.5" customHeight="1" x14ac:dyDescent="0.25">
      <c r="A241" s="42">
        <v>191</v>
      </c>
      <c r="B241" s="48">
        <v>45748</v>
      </c>
      <c r="C241" s="129" t="s">
        <v>5</v>
      </c>
      <c r="D241" s="107" t="s">
        <v>24</v>
      </c>
      <c r="E241" s="129" t="s">
        <v>6</v>
      </c>
      <c r="F241" s="129" t="s">
        <v>7</v>
      </c>
      <c r="G241" s="129">
        <f>(50*5.3)+(4*6.8)</f>
        <v>292.2</v>
      </c>
      <c r="H241" s="129">
        <f>12+2</f>
        <v>14</v>
      </c>
      <c r="I241" s="129">
        <v>2</v>
      </c>
      <c r="J241" s="148"/>
      <c r="K241" s="149"/>
      <c r="L241" s="150"/>
      <c r="M241" s="69"/>
      <c r="O241" s="138"/>
      <c r="P241" s="135"/>
    </row>
    <row r="242" spans="1:16" ht="13.5" customHeight="1" x14ac:dyDescent="0.25">
      <c r="A242" s="42">
        <v>192</v>
      </c>
      <c r="B242" s="48">
        <v>45748</v>
      </c>
      <c r="C242" s="129" t="s">
        <v>5</v>
      </c>
      <c r="D242" s="107" t="s">
        <v>25</v>
      </c>
      <c r="E242" s="129" t="s">
        <v>6</v>
      </c>
      <c r="F242" s="129" t="s">
        <v>7</v>
      </c>
      <c r="G242" s="129">
        <f>(12*7.5*2.5)+(1*7.5*3.7)</f>
        <v>252.75</v>
      </c>
      <c r="H242" s="129">
        <f>11+2</f>
        <v>13</v>
      </c>
      <c r="I242" s="129">
        <v>2</v>
      </c>
      <c r="J242" s="148"/>
      <c r="K242" s="149"/>
      <c r="L242" s="150"/>
      <c r="M242" s="69"/>
      <c r="O242" s="138"/>
      <c r="P242" s="135"/>
    </row>
    <row r="243" spans="1:16" ht="13.5" customHeight="1" thickBot="1" x14ac:dyDescent="0.3">
      <c r="A243" s="42">
        <v>193</v>
      </c>
      <c r="B243" s="76">
        <v>45748</v>
      </c>
      <c r="C243" s="71" t="s">
        <v>5</v>
      </c>
      <c r="D243" s="110" t="s">
        <v>26</v>
      </c>
      <c r="E243" s="71" t="s">
        <v>6</v>
      </c>
      <c r="F243" s="71" t="s">
        <v>7</v>
      </c>
      <c r="G243" s="71">
        <f>(8*7.5*2.5)+(1*7.5*3.7)+5</f>
        <v>182.75</v>
      </c>
      <c r="H243" s="71">
        <v>9</v>
      </c>
      <c r="I243" s="71">
        <v>1</v>
      </c>
      <c r="J243" s="153"/>
      <c r="K243" s="154"/>
      <c r="L243" s="155"/>
      <c r="M243" s="77"/>
      <c r="O243" s="138"/>
      <c r="P243" s="135"/>
    </row>
    <row r="244" spans="1:16" ht="13.5" customHeight="1" thickBot="1" x14ac:dyDescent="0.3">
      <c r="A244" s="151" t="s">
        <v>225</v>
      </c>
      <c r="B244" s="152"/>
      <c r="C244" s="152"/>
      <c r="D244" s="152"/>
      <c r="E244" s="152"/>
      <c r="F244" s="152"/>
      <c r="G244" s="12"/>
      <c r="H244" s="12"/>
      <c r="I244" s="12"/>
      <c r="J244" s="12"/>
      <c r="K244" s="12"/>
      <c r="L244" s="12"/>
      <c r="M244" s="13"/>
      <c r="O244" s="138"/>
      <c r="P244" s="135"/>
    </row>
    <row r="245" spans="1:16" ht="21.75" customHeight="1" thickBot="1" x14ac:dyDescent="0.3">
      <c r="A245" s="14">
        <v>194</v>
      </c>
      <c r="B245" s="15">
        <v>45754</v>
      </c>
      <c r="C245" s="16" t="s">
        <v>5</v>
      </c>
      <c r="D245" s="45" t="s">
        <v>226</v>
      </c>
      <c r="E245" s="16" t="s">
        <v>6</v>
      </c>
      <c r="F245" s="16" t="s">
        <v>7</v>
      </c>
      <c r="G245" s="16">
        <f>(7*2.5*5)+(1*3.6*6)+8</f>
        <v>117.1</v>
      </c>
      <c r="H245" s="16">
        <f>7+1</f>
        <v>8</v>
      </c>
      <c r="I245" s="16">
        <v>1</v>
      </c>
      <c r="J245" s="145" t="s">
        <v>443</v>
      </c>
      <c r="K245" s="146"/>
      <c r="L245" s="147"/>
      <c r="M245" s="17"/>
      <c r="O245" s="138"/>
      <c r="P245" s="135"/>
    </row>
    <row r="246" spans="1:16" ht="13.5" customHeight="1" thickBot="1" x14ac:dyDescent="0.3">
      <c r="A246" s="151" t="s">
        <v>227</v>
      </c>
      <c r="B246" s="152"/>
      <c r="C246" s="152"/>
      <c r="D246" s="152"/>
      <c r="E246" s="152"/>
      <c r="F246" s="152"/>
      <c r="G246" s="12"/>
      <c r="H246" s="12"/>
      <c r="I246" s="12"/>
      <c r="J246" s="12"/>
      <c r="K246" s="12"/>
      <c r="L246" s="12"/>
      <c r="M246" s="13"/>
      <c r="O246" s="138"/>
      <c r="P246" s="135"/>
    </row>
    <row r="247" spans="1:16" ht="21.75" customHeight="1" thickBot="1" x14ac:dyDescent="0.3">
      <c r="A247" s="14">
        <v>195</v>
      </c>
      <c r="B247" s="15">
        <v>45754</v>
      </c>
      <c r="C247" s="16" t="s">
        <v>5</v>
      </c>
      <c r="D247" s="45" t="s">
        <v>228</v>
      </c>
      <c r="E247" s="16" t="s">
        <v>6</v>
      </c>
      <c r="F247" s="16" t="s">
        <v>7</v>
      </c>
      <c r="G247" s="41">
        <f>(4*3.1*4)+(1*5*4)</f>
        <v>69.599999999999994</v>
      </c>
      <c r="H247" s="16">
        <f>4+1</f>
        <v>5</v>
      </c>
      <c r="I247" s="16">
        <v>1</v>
      </c>
      <c r="J247" s="145" t="s">
        <v>443</v>
      </c>
      <c r="K247" s="146"/>
      <c r="L247" s="147"/>
      <c r="M247" s="17"/>
      <c r="O247" s="138"/>
      <c r="P247" s="135"/>
    </row>
    <row r="248" spans="1:16" ht="13.5" customHeight="1" thickBot="1" x14ac:dyDescent="0.3">
      <c r="A248" s="151" t="s">
        <v>432</v>
      </c>
      <c r="B248" s="152"/>
      <c r="C248" s="152"/>
      <c r="D248" s="152"/>
      <c r="E248" s="152"/>
      <c r="F248" s="152"/>
      <c r="G248" s="12"/>
      <c r="H248" s="12"/>
      <c r="I248" s="12"/>
      <c r="J248" s="12"/>
      <c r="K248" s="12"/>
      <c r="L248" s="12"/>
      <c r="M248" s="13"/>
      <c r="O248" s="138"/>
      <c r="P248" s="135"/>
    </row>
    <row r="249" spans="1:16" ht="13.5" customHeight="1" x14ac:dyDescent="0.25">
      <c r="A249" s="61">
        <v>196</v>
      </c>
      <c r="B249" s="15">
        <v>45754</v>
      </c>
      <c r="C249" s="16" t="s">
        <v>5</v>
      </c>
      <c r="D249" s="45" t="s">
        <v>122</v>
      </c>
      <c r="E249" s="16" t="s">
        <v>6</v>
      </c>
      <c r="F249" s="16" t="s">
        <v>7</v>
      </c>
      <c r="G249" s="41">
        <f>(27*3.8)+(33*3.8)</f>
        <v>228</v>
      </c>
      <c r="H249" s="16">
        <f>7+1+9+1</f>
        <v>18</v>
      </c>
      <c r="I249" s="16">
        <v>2</v>
      </c>
      <c r="J249" s="145" t="s">
        <v>443</v>
      </c>
      <c r="K249" s="146"/>
      <c r="L249" s="147"/>
      <c r="M249" s="17"/>
      <c r="O249" s="138"/>
      <c r="P249" s="135"/>
    </row>
    <row r="250" spans="1:16" ht="13.5" customHeight="1" x14ac:dyDescent="0.25">
      <c r="A250" s="18">
        <v>197</v>
      </c>
      <c r="B250" s="19">
        <v>45754</v>
      </c>
      <c r="C250" s="128" t="s">
        <v>5</v>
      </c>
      <c r="D250" s="46" t="s">
        <v>123</v>
      </c>
      <c r="E250" s="128" t="s">
        <v>6</v>
      </c>
      <c r="F250" s="128" t="s">
        <v>7</v>
      </c>
      <c r="G250" s="43">
        <f>4*7.5*2.3</f>
        <v>69</v>
      </c>
      <c r="H250" s="128">
        <f>3+1</f>
        <v>4</v>
      </c>
      <c r="I250" s="128">
        <v>1</v>
      </c>
      <c r="J250" s="148"/>
      <c r="K250" s="149"/>
      <c r="L250" s="150"/>
      <c r="M250" s="21"/>
      <c r="O250" s="138"/>
      <c r="P250" s="135"/>
    </row>
    <row r="251" spans="1:16" ht="13.5" customHeight="1" x14ac:dyDescent="0.25">
      <c r="A251" s="18">
        <v>198</v>
      </c>
      <c r="B251" s="19">
        <v>45754</v>
      </c>
      <c r="C251" s="128" t="s">
        <v>5</v>
      </c>
      <c r="D251" s="46" t="s">
        <v>124</v>
      </c>
      <c r="E251" s="128" t="s">
        <v>6</v>
      </c>
      <c r="F251" s="128" t="s">
        <v>7</v>
      </c>
      <c r="G251" s="128">
        <f>(7*2.5*5)+(1*3.6*6)</f>
        <v>109.1</v>
      </c>
      <c r="H251" s="128">
        <f>7+1</f>
        <v>8</v>
      </c>
      <c r="I251" s="128">
        <v>1</v>
      </c>
      <c r="J251" s="148"/>
      <c r="K251" s="149"/>
      <c r="L251" s="150"/>
      <c r="M251" s="21"/>
      <c r="O251" s="138"/>
      <c r="P251" s="135"/>
    </row>
    <row r="252" spans="1:16" ht="13.5" customHeight="1" thickBot="1" x14ac:dyDescent="0.3">
      <c r="A252" s="18">
        <v>199</v>
      </c>
      <c r="B252" s="19">
        <v>45754</v>
      </c>
      <c r="C252" s="128" t="s">
        <v>5</v>
      </c>
      <c r="D252" s="46" t="s">
        <v>125</v>
      </c>
      <c r="E252" s="128" t="s">
        <v>6</v>
      </c>
      <c r="F252" s="128" t="s">
        <v>7</v>
      </c>
      <c r="G252" s="128">
        <f>(14*2.5*5)+(2*3.6*6)</f>
        <v>218.2</v>
      </c>
      <c r="H252" s="128">
        <f>14+2</f>
        <v>16</v>
      </c>
      <c r="I252" s="128">
        <v>2</v>
      </c>
      <c r="J252" s="148"/>
      <c r="K252" s="149"/>
      <c r="L252" s="150"/>
      <c r="M252" s="21"/>
      <c r="O252" s="138"/>
      <c r="P252" s="135"/>
    </row>
    <row r="253" spans="1:16" ht="13.5" customHeight="1" thickBot="1" x14ac:dyDescent="0.3">
      <c r="A253" s="151" t="s">
        <v>229</v>
      </c>
      <c r="B253" s="152"/>
      <c r="C253" s="152"/>
      <c r="D253" s="152"/>
      <c r="E253" s="62"/>
      <c r="F253" s="12"/>
      <c r="G253" s="12"/>
      <c r="H253" s="12"/>
      <c r="I253" s="12"/>
      <c r="J253" s="12"/>
      <c r="K253" s="12"/>
      <c r="L253" s="12"/>
      <c r="M253" s="13"/>
      <c r="O253" s="138"/>
      <c r="P253" s="135"/>
    </row>
    <row r="254" spans="1:16" ht="13.5" customHeight="1" x14ac:dyDescent="0.25">
      <c r="A254" s="14">
        <v>200</v>
      </c>
      <c r="B254" s="15">
        <v>45755</v>
      </c>
      <c r="C254" s="16" t="s">
        <v>5</v>
      </c>
      <c r="D254" s="45" t="s">
        <v>230</v>
      </c>
      <c r="E254" s="16" t="s">
        <v>6</v>
      </c>
      <c r="F254" s="16" t="s">
        <v>7</v>
      </c>
      <c r="G254" s="16">
        <f>(3*2.5*5)+(1*3.6*6)</f>
        <v>59.1</v>
      </c>
      <c r="H254" s="16">
        <f>3+1</f>
        <v>4</v>
      </c>
      <c r="I254" s="16">
        <v>1</v>
      </c>
      <c r="J254" s="145" t="s">
        <v>443</v>
      </c>
      <c r="K254" s="146"/>
      <c r="L254" s="147"/>
      <c r="M254" s="17"/>
      <c r="O254" s="138"/>
      <c r="P254" s="135"/>
    </row>
    <row r="255" spans="1:16" ht="13.5" customHeight="1" thickBot="1" x14ac:dyDescent="0.3">
      <c r="A255" s="18">
        <v>201</v>
      </c>
      <c r="B255" s="19">
        <v>45755</v>
      </c>
      <c r="C255" s="128" t="s">
        <v>5</v>
      </c>
      <c r="D255" s="46" t="s">
        <v>230</v>
      </c>
      <c r="E255" s="128" t="s">
        <v>6</v>
      </c>
      <c r="F255" s="128" t="s">
        <v>7</v>
      </c>
      <c r="G255" s="128">
        <f>(3*2.5*5)+(1*3.6*6)</f>
        <v>59.1</v>
      </c>
      <c r="H255" s="128">
        <f>3+1</f>
        <v>4</v>
      </c>
      <c r="I255" s="128">
        <v>1</v>
      </c>
      <c r="J255" s="148"/>
      <c r="K255" s="149"/>
      <c r="L255" s="150"/>
      <c r="M255" s="21"/>
      <c r="O255" s="138"/>
      <c r="P255" s="135"/>
    </row>
    <row r="256" spans="1:16" ht="13.5" customHeight="1" thickBot="1" x14ac:dyDescent="0.3">
      <c r="A256" s="151" t="s">
        <v>433</v>
      </c>
      <c r="B256" s="152"/>
      <c r="C256" s="152"/>
      <c r="D256" s="152"/>
      <c r="E256" s="152"/>
      <c r="F256" s="152"/>
      <c r="G256" s="12"/>
      <c r="H256" s="12"/>
      <c r="I256" s="12"/>
      <c r="J256" s="12"/>
      <c r="K256" s="12"/>
      <c r="L256" s="12"/>
      <c r="M256" s="13"/>
      <c r="O256" s="138"/>
      <c r="P256" s="135"/>
    </row>
    <row r="257" spans="1:16" ht="13.5" customHeight="1" x14ac:dyDescent="0.25">
      <c r="A257" s="14">
        <v>202</v>
      </c>
      <c r="B257" s="15">
        <v>45755</v>
      </c>
      <c r="C257" s="16" t="s">
        <v>5</v>
      </c>
      <c r="D257" s="45" t="s">
        <v>466</v>
      </c>
      <c r="E257" s="16" t="s">
        <v>6</v>
      </c>
      <c r="F257" s="16" t="s">
        <v>7</v>
      </c>
      <c r="G257" s="16">
        <f>27*3.3</f>
        <v>89.1</v>
      </c>
      <c r="H257" s="16">
        <v>2</v>
      </c>
      <c r="I257" s="16">
        <v>1</v>
      </c>
      <c r="J257" s="145" t="s">
        <v>443</v>
      </c>
      <c r="K257" s="146"/>
      <c r="L257" s="147"/>
      <c r="M257" s="17"/>
      <c r="O257" s="138"/>
      <c r="P257" s="135"/>
    </row>
    <row r="258" spans="1:16" ht="13.5" customHeight="1" x14ac:dyDescent="0.25">
      <c r="A258" s="18">
        <v>203</v>
      </c>
      <c r="B258" s="19">
        <v>45755</v>
      </c>
      <c r="C258" s="128" t="s">
        <v>5</v>
      </c>
      <c r="D258" s="46" t="s">
        <v>467</v>
      </c>
      <c r="E258" s="128" t="s">
        <v>6</v>
      </c>
      <c r="F258" s="128" t="s">
        <v>7</v>
      </c>
      <c r="G258" s="129">
        <f>22*2.3</f>
        <v>50.599999999999994</v>
      </c>
      <c r="H258" s="128">
        <v>2</v>
      </c>
      <c r="I258" s="128">
        <v>1</v>
      </c>
      <c r="J258" s="148"/>
      <c r="K258" s="149"/>
      <c r="L258" s="150"/>
      <c r="M258" s="21"/>
      <c r="O258" s="138"/>
      <c r="P258" s="135"/>
    </row>
    <row r="259" spans="1:16" ht="13.5" customHeight="1" x14ac:dyDescent="0.25">
      <c r="A259" s="42">
        <v>204</v>
      </c>
      <c r="B259" s="48">
        <v>45755</v>
      </c>
      <c r="C259" s="129" t="s">
        <v>5</v>
      </c>
      <c r="D259" s="107" t="s">
        <v>103</v>
      </c>
      <c r="E259" s="128" t="s">
        <v>6</v>
      </c>
      <c r="F259" s="128" t="s">
        <v>7</v>
      </c>
      <c r="G259" s="44">
        <f>28*3.5</f>
        <v>98</v>
      </c>
      <c r="H259" s="128">
        <v>3</v>
      </c>
      <c r="I259" s="128">
        <v>1</v>
      </c>
      <c r="J259" s="148"/>
      <c r="K259" s="149"/>
      <c r="L259" s="150"/>
      <c r="M259" s="21"/>
      <c r="O259" s="138"/>
      <c r="P259" s="135"/>
    </row>
    <row r="260" spans="1:16" ht="13.5" customHeight="1" x14ac:dyDescent="0.25">
      <c r="A260" s="18">
        <v>205</v>
      </c>
      <c r="B260" s="19">
        <v>45755</v>
      </c>
      <c r="C260" s="129" t="s">
        <v>5</v>
      </c>
      <c r="D260" s="110" t="s">
        <v>103</v>
      </c>
      <c r="E260" s="128" t="s">
        <v>6</v>
      </c>
      <c r="F260" s="128" t="s">
        <v>7</v>
      </c>
      <c r="G260" s="44">
        <f>(95*6.2)</f>
        <v>589</v>
      </c>
      <c r="H260" s="128">
        <f>28+3</f>
        <v>31</v>
      </c>
      <c r="I260" s="128">
        <v>3</v>
      </c>
      <c r="J260" s="148"/>
      <c r="K260" s="149"/>
      <c r="L260" s="150"/>
      <c r="M260" s="21"/>
      <c r="O260" s="138"/>
      <c r="P260" s="135"/>
    </row>
    <row r="261" spans="1:16" ht="13.5" customHeight="1" x14ac:dyDescent="0.25">
      <c r="A261" s="18">
        <v>206</v>
      </c>
      <c r="B261" s="48">
        <v>45755</v>
      </c>
      <c r="C261" s="129" t="s">
        <v>5</v>
      </c>
      <c r="D261" s="107" t="s">
        <v>104</v>
      </c>
      <c r="E261" s="128" t="s">
        <v>6</v>
      </c>
      <c r="F261" s="128" t="s">
        <v>7</v>
      </c>
      <c r="G261" s="128">
        <f>29*3.5</f>
        <v>101.5</v>
      </c>
      <c r="H261" s="128">
        <f>2+1</f>
        <v>3</v>
      </c>
      <c r="I261" s="128">
        <v>1</v>
      </c>
      <c r="J261" s="148"/>
      <c r="K261" s="149"/>
      <c r="L261" s="150"/>
      <c r="M261" s="21"/>
      <c r="O261" s="138"/>
      <c r="P261" s="135"/>
    </row>
    <row r="262" spans="1:16" ht="13.5" customHeight="1" x14ac:dyDescent="0.25">
      <c r="A262" s="42">
        <v>207</v>
      </c>
      <c r="B262" s="19">
        <v>45755</v>
      </c>
      <c r="C262" s="129" t="s">
        <v>5</v>
      </c>
      <c r="D262" s="107" t="s">
        <v>104</v>
      </c>
      <c r="E262" s="128" t="s">
        <v>6</v>
      </c>
      <c r="F262" s="128" t="s">
        <v>7</v>
      </c>
      <c r="G262" s="128">
        <f>21*3.5</f>
        <v>73.5</v>
      </c>
      <c r="H262" s="128">
        <f>2</f>
        <v>2</v>
      </c>
      <c r="I262" s="128">
        <v>1</v>
      </c>
      <c r="J262" s="148"/>
      <c r="K262" s="149"/>
      <c r="L262" s="150"/>
      <c r="M262" s="21"/>
      <c r="O262" s="138"/>
      <c r="P262" s="135"/>
    </row>
    <row r="263" spans="1:16" ht="13.5" customHeight="1" x14ac:dyDescent="0.25">
      <c r="A263" s="18">
        <v>208</v>
      </c>
      <c r="B263" s="19">
        <v>45755</v>
      </c>
      <c r="C263" s="129" t="s">
        <v>5</v>
      </c>
      <c r="D263" s="46" t="s">
        <v>105</v>
      </c>
      <c r="E263" s="128" t="s">
        <v>6</v>
      </c>
      <c r="F263" s="128" t="s">
        <v>7</v>
      </c>
      <c r="G263" s="128">
        <f>7*7.5*2.5</f>
        <v>131.25</v>
      </c>
      <c r="H263" s="128">
        <f>6+1</f>
        <v>7</v>
      </c>
      <c r="I263" s="128">
        <v>1</v>
      </c>
      <c r="J263" s="148"/>
      <c r="K263" s="149"/>
      <c r="L263" s="150"/>
      <c r="M263" s="21"/>
      <c r="O263" s="138"/>
      <c r="P263" s="135"/>
    </row>
    <row r="264" spans="1:16" ht="13.5" customHeight="1" x14ac:dyDescent="0.25">
      <c r="A264" s="18">
        <v>209</v>
      </c>
      <c r="B264" s="19">
        <v>45755</v>
      </c>
      <c r="C264" s="129" t="s">
        <v>5</v>
      </c>
      <c r="D264" s="103" t="s">
        <v>106</v>
      </c>
      <c r="E264" s="128" t="s">
        <v>6</v>
      </c>
      <c r="F264" s="128" t="s">
        <v>7</v>
      </c>
      <c r="G264" s="128">
        <f>(8*2.5*5)+(1*3.6*6)</f>
        <v>121.6</v>
      </c>
      <c r="H264" s="128">
        <f>8+1</f>
        <v>9</v>
      </c>
      <c r="I264" s="128">
        <v>1</v>
      </c>
      <c r="J264" s="148"/>
      <c r="K264" s="149"/>
      <c r="L264" s="150"/>
      <c r="M264" s="21"/>
      <c r="O264" s="138"/>
      <c r="P264" s="135"/>
    </row>
    <row r="265" spans="1:16" ht="13.5" customHeight="1" x14ac:dyDescent="0.25">
      <c r="A265" s="42">
        <v>210</v>
      </c>
      <c r="B265" s="19">
        <v>45755</v>
      </c>
      <c r="C265" s="129" t="s">
        <v>5</v>
      </c>
      <c r="D265" s="103" t="s">
        <v>107</v>
      </c>
      <c r="E265" s="128" t="s">
        <v>6</v>
      </c>
      <c r="F265" s="128" t="s">
        <v>7</v>
      </c>
      <c r="G265" s="44">
        <f>(22*2.5*5)+(2*4*6)</f>
        <v>323</v>
      </c>
      <c r="H265" s="128">
        <f>21+3</f>
        <v>24</v>
      </c>
      <c r="I265" s="128">
        <v>3</v>
      </c>
      <c r="J265" s="148"/>
      <c r="K265" s="149"/>
      <c r="L265" s="150"/>
      <c r="M265" s="25"/>
      <c r="O265" s="138"/>
      <c r="P265" s="135"/>
    </row>
    <row r="266" spans="1:16" ht="13.5" customHeight="1" x14ac:dyDescent="0.25">
      <c r="A266" s="18">
        <v>211</v>
      </c>
      <c r="B266" s="19">
        <v>45755</v>
      </c>
      <c r="C266" s="128" t="s">
        <v>5</v>
      </c>
      <c r="D266" s="103" t="s">
        <v>108</v>
      </c>
      <c r="E266" s="128" t="s">
        <v>6</v>
      </c>
      <c r="F266" s="128" t="s">
        <v>7</v>
      </c>
      <c r="G266" s="44">
        <f>((138+147)/2)*4.5</f>
        <v>641.25</v>
      </c>
      <c r="H266" s="128">
        <f>48+6</f>
        <v>54</v>
      </c>
      <c r="I266" s="128">
        <v>6</v>
      </c>
      <c r="J266" s="148"/>
      <c r="K266" s="149"/>
      <c r="L266" s="150"/>
      <c r="M266" s="25"/>
      <c r="O266" s="138"/>
      <c r="P266" s="135"/>
    </row>
    <row r="267" spans="1:16" ht="13.5" customHeight="1" thickBot="1" x14ac:dyDescent="0.3">
      <c r="A267" s="18">
        <v>212</v>
      </c>
      <c r="B267" s="33">
        <v>45755</v>
      </c>
      <c r="C267" s="34" t="s">
        <v>5</v>
      </c>
      <c r="D267" s="104" t="s">
        <v>109</v>
      </c>
      <c r="E267" s="34" t="s">
        <v>6</v>
      </c>
      <c r="F267" s="34" t="s">
        <v>7</v>
      </c>
      <c r="G267" s="67">
        <f>(14*7.5*2.5)+(2*7.5*2.5)</f>
        <v>300</v>
      </c>
      <c r="H267" s="34">
        <f>14+2</f>
        <v>16</v>
      </c>
      <c r="I267" s="34">
        <v>2</v>
      </c>
      <c r="J267" s="148"/>
      <c r="K267" s="149"/>
      <c r="L267" s="150"/>
      <c r="M267" s="78"/>
      <c r="O267" s="138"/>
      <c r="P267" s="135"/>
    </row>
    <row r="268" spans="1:16" ht="13.5" customHeight="1" thickBot="1" x14ac:dyDescent="0.3">
      <c r="A268" s="151" t="s">
        <v>231</v>
      </c>
      <c r="B268" s="152"/>
      <c r="C268" s="152"/>
      <c r="D268" s="152"/>
      <c r="E268" s="152"/>
      <c r="F268" s="152"/>
      <c r="G268" s="12"/>
      <c r="H268" s="12"/>
      <c r="I268" s="12"/>
      <c r="J268" s="12"/>
      <c r="K268" s="12"/>
      <c r="L268" s="12"/>
      <c r="M268" s="13"/>
      <c r="O268" s="138"/>
      <c r="P268" s="135"/>
    </row>
    <row r="269" spans="1:16" ht="21.75" customHeight="1" thickBot="1" x14ac:dyDescent="0.3">
      <c r="A269" s="14">
        <v>213</v>
      </c>
      <c r="B269" s="15">
        <v>45758</v>
      </c>
      <c r="C269" s="16" t="s">
        <v>5</v>
      </c>
      <c r="D269" s="45" t="s">
        <v>232</v>
      </c>
      <c r="E269" s="16" t="s">
        <v>6</v>
      </c>
      <c r="F269" s="16" t="s">
        <v>7</v>
      </c>
      <c r="G269" s="16">
        <f>43*((2.8+4.5)/2)</f>
        <v>156.94999999999999</v>
      </c>
      <c r="H269" s="16">
        <f>4+1</f>
        <v>5</v>
      </c>
      <c r="I269" s="16">
        <v>1</v>
      </c>
      <c r="J269" s="145" t="s">
        <v>443</v>
      </c>
      <c r="K269" s="146"/>
      <c r="L269" s="147"/>
      <c r="M269" s="17"/>
      <c r="O269" s="138"/>
      <c r="P269" s="135"/>
    </row>
    <row r="270" spans="1:16" ht="13.5" customHeight="1" thickBot="1" x14ac:dyDescent="0.3">
      <c r="A270" s="151" t="s">
        <v>242</v>
      </c>
      <c r="B270" s="152"/>
      <c r="C270" s="152"/>
      <c r="D270" s="152"/>
      <c r="E270" s="152"/>
      <c r="F270" s="152"/>
      <c r="G270" s="12"/>
      <c r="H270" s="12"/>
      <c r="I270" s="12"/>
      <c r="J270" s="12"/>
      <c r="K270" s="12"/>
      <c r="L270" s="12"/>
      <c r="M270" s="13"/>
      <c r="O270" s="138"/>
      <c r="P270" s="135"/>
    </row>
    <row r="271" spans="1:16" ht="13.5" customHeight="1" x14ac:dyDescent="0.25">
      <c r="A271" s="61">
        <v>214</v>
      </c>
      <c r="B271" s="15">
        <v>45758</v>
      </c>
      <c r="C271" s="16" t="s">
        <v>5</v>
      </c>
      <c r="D271" s="45" t="s">
        <v>243</v>
      </c>
      <c r="E271" s="16" t="s">
        <v>6</v>
      </c>
      <c r="F271" s="16" t="s">
        <v>7</v>
      </c>
      <c r="G271" s="41">
        <f>(9*2.5*5)+(1*3.5*5)</f>
        <v>130</v>
      </c>
      <c r="H271" s="16">
        <f>9+1</f>
        <v>10</v>
      </c>
      <c r="I271" s="16">
        <v>1</v>
      </c>
      <c r="J271" s="145" t="s">
        <v>443</v>
      </c>
      <c r="K271" s="146"/>
      <c r="L271" s="147"/>
      <c r="M271" s="17"/>
      <c r="O271" s="138"/>
      <c r="P271" s="135"/>
    </row>
    <row r="272" spans="1:16" ht="13.5" customHeight="1" x14ac:dyDescent="0.25">
      <c r="A272" s="18">
        <v>215</v>
      </c>
      <c r="B272" s="19">
        <v>45758</v>
      </c>
      <c r="C272" s="128" t="s">
        <v>5</v>
      </c>
      <c r="D272" s="46" t="s">
        <v>243</v>
      </c>
      <c r="E272" s="128" t="s">
        <v>6</v>
      </c>
      <c r="F272" s="128" t="s">
        <v>7</v>
      </c>
      <c r="G272" s="43">
        <f>(12*2.6*5)+(2*4*6)</f>
        <v>204</v>
      </c>
      <c r="H272" s="128">
        <f>12+2</f>
        <v>14</v>
      </c>
      <c r="I272" s="128">
        <v>2</v>
      </c>
      <c r="J272" s="148"/>
      <c r="K272" s="149"/>
      <c r="L272" s="150"/>
      <c r="M272" s="21"/>
      <c r="O272" s="138"/>
      <c r="P272" s="135"/>
    </row>
    <row r="273" spans="1:16" ht="13.5" customHeight="1" thickBot="1" x14ac:dyDescent="0.3">
      <c r="A273" s="18">
        <v>216</v>
      </c>
      <c r="B273" s="19">
        <v>45758</v>
      </c>
      <c r="C273" s="128" t="s">
        <v>5</v>
      </c>
      <c r="D273" s="46" t="s">
        <v>244</v>
      </c>
      <c r="E273" s="128" t="s">
        <v>6</v>
      </c>
      <c r="F273" s="128" t="s">
        <v>7</v>
      </c>
      <c r="G273" s="44">
        <f>(3*6*4.5)+(1*6*4.5)</f>
        <v>108</v>
      </c>
      <c r="H273" s="128">
        <f>3+1</f>
        <v>4</v>
      </c>
      <c r="I273" s="128">
        <v>1</v>
      </c>
      <c r="J273" s="148"/>
      <c r="K273" s="149"/>
      <c r="L273" s="150"/>
      <c r="M273" s="21"/>
      <c r="O273" s="138"/>
      <c r="P273" s="135"/>
    </row>
    <row r="274" spans="1:16" ht="13.5" customHeight="1" thickBot="1" x14ac:dyDescent="0.3">
      <c r="A274" s="151" t="s">
        <v>245</v>
      </c>
      <c r="B274" s="152"/>
      <c r="C274" s="152"/>
      <c r="D274" s="152"/>
      <c r="E274" s="152"/>
      <c r="F274" s="152"/>
      <c r="G274" s="12"/>
      <c r="H274" s="12"/>
      <c r="I274" s="12"/>
      <c r="J274" s="12"/>
      <c r="K274" s="12"/>
      <c r="L274" s="12"/>
      <c r="M274" s="13"/>
      <c r="O274" s="138"/>
      <c r="P274" s="135"/>
    </row>
    <row r="275" spans="1:16" ht="21.75" customHeight="1" thickBot="1" x14ac:dyDescent="0.3">
      <c r="A275" s="14">
        <v>217</v>
      </c>
      <c r="B275" s="15">
        <v>45758</v>
      </c>
      <c r="C275" s="16" t="s">
        <v>5</v>
      </c>
      <c r="D275" s="45" t="s">
        <v>246</v>
      </c>
      <c r="E275" s="16" t="s">
        <v>6</v>
      </c>
      <c r="F275" s="16" t="s">
        <v>7</v>
      </c>
      <c r="G275" s="16">
        <f>((24+43)/2)*9.5</f>
        <v>318.25</v>
      </c>
      <c r="H275" s="16">
        <f>8+1</f>
        <v>9</v>
      </c>
      <c r="I275" s="16">
        <v>1</v>
      </c>
      <c r="J275" s="145" t="s">
        <v>443</v>
      </c>
      <c r="K275" s="146"/>
      <c r="L275" s="147"/>
      <c r="M275" s="17"/>
      <c r="O275" s="138"/>
      <c r="P275" s="135"/>
    </row>
    <row r="276" spans="1:16" ht="13.5" customHeight="1" thickBot="1" x14ac:dyDescent="0.3">
      <c r="A276" s="151" t="s">
        <v>247</v>
      </c>
      <c r="B276" s="152"/>
      <c r="C276" s="152"/>
      <c r="D276" s="152"/>
      <c r="E276" s="152"/>
      <c r="F276" s="36"/>
      <c r="G276" s="36"/>
      <c r="H276" s="12"/>
      <c r="I276" s="12"/>
      <c r="J276" s="12"/>
      <c r="K276" s="12"/>
      <c r="L276" s="12"/>
      <c r="M276" s="13"/>
      <c r="O276" s="138"/>
      <c r="P276" s="135"/>
    </row>
    <row r="277" spans="1:16" ht="13.5" customHeight="1" x14ac:dyDescent="0.25">
      <c r="A277" s="14">
        <v>218</v>
      </c>
      <c r="B277" s="15">
        <v>45758</v>
      </c>
      <c r="C277" s="16" t="s">
        <v>5</v>
      </c>
      <c r="D277" s="45" t="s">
        <v>249</v>
      </c>
      <c r="E277" s="16" t="s">
        <v>6</v>
      </c>
      <c r="F277" s="16" t="s">
        <v>7</v>
      </c>
      <c r="G277" s="16">
        <f>(3*2.5*5)+(1*4*6)</f>
        <v>61.5</v>
      </c>
      <c r="H277" s="16">
        <f>3+1</f>
        <v>4</v>
      </c>
      <c r="I277" s="16">
        <v>1</v>
      </c>
      <c r="J277" s="145" t="s">
        <v>443</v>
      </c>
      <c r="K277" s="146"/>
      <c r="L277" s="147"/>
      <c r="M277" s="17"/>
      <c r="O277" s="138"/>
      <c r="P277" s="135"/>
    </row>
    <row r="278" spans="1:16" ht="13.5" customHeight="1" thickBot="1" x14ac:dyDescent="0.3">
      <c r="A278" s="18">
        <v>219</v>
      </c>
      <c r="B278" s="19">
        <v>45758</v>
      </c>
      <c r="C278" s="128" t="s">
        <v>5</v>
      </c>
      <c r="D278" s="46" t="s">
        <v>248</v>
      </c>
      <c r="E278" s="128" t="s">
        <v>6</v>
      </c>
      <c r="F278" s="128" t="s">
        <v>7</v>
      </c>
      <c r="G278" s="128">
        <f>(15*2.5*(5+4))+(2*4.1*(6+3))</f>
        <v>411.3</v>
      </c>
      <c r="H278" s="128">
        <f>15+2</f>
        <v>17</v>
      </c>
      <c r="I278" s="128">
        <v>2</v>
      </c>
      <c r="J278" s="153"/>
      <c r="K278" s="154"/>
      <c r="L278" s="155"/>
      <c r="M278" s="21"/>
      <c r="O278" s="138"/>
      <c r="P278" s="135"/>
    </row>
    <row r="279" spans="1:16" ht="13.5" customHeight="1" thickBot="1" x14ac:dyDescent="0.3">
      <c r="A279" s="151" t="s">
        <v>250</v>
      </c>
      <c r="B279" s="152"/>
      <c r="C279" s="152"/>
      <c r="D279" s="152"/>
      <c r="E279" s="152"/>
      <c r="F279" s="152"/>
      <c r="G279" s="12"/>
      <c r="H279" s="12"/>
      <c r="I279" s="12"/>
      <c r="J279" s="12"/>
      <c r="K279" s="12"/>
      <c r="L279" s="12"/>
      <c r="M279" s="13"/>
      <c r="O279" s="138"/>
      <c r="P279" s="135"/>
    </row>
    <row r="280" spans="1:16" ht="13.5" customHeight="1" x14ac:dyDescent="0.25">
      <c r="A280" s="61">
        <v>220</v>
      </c>
      <c r="B280" s="79">
        <v>45759</v>
      </c>
      <c r="C280" s="38" t="s">
        <v>5</v>
      </c>
      <c r="D280" s="92" t="s">
        <v>251</v>
      </c>
      <c r="E280" s="38" t="s">
        <v>6</v>
      </c>
      <c r="F280" s="38" t="s">
        <v>7</v>
      </c>
      <c r="G280" s="38">
        <f>((21+29)/2)*5.5</f>
        <v>137.5</v>
      </c>
      <c r="H280" s="38">
        <f>6+1</f>
        <v>7</v>
      </c>
      <c r="I280" s="38">
        <v>1</v>
      </c>
      <c r="J280" s="162" t="s">
        <v>443</v>
      </c>
      <c r="K280" s="163"/>
      <c r="L280" s="164"/>
      <c r="M280" s="80"/>
      <c r="O280" s="138"/>
      <c r="P280" s="135"/>
    </row>
    <row r="281" spans="1:16" ht="13.5" customHeight="1" thickBot="1" x14ac:dyDescent="0.3">
      <c r="A281" s="18">
        <v>221</v>
      </c>
      <c r="B281" s="19">
        <v>45759</v>
      </c>
      <c r="C281" s="128" t="s">
        <v>5</v>
      </c>
      <c r="D281" s="46" t="s">
        <v>252</v>
      </c>
      <c r="E281" s="128" t="s">
        <v>6</v>
      </c>
      <c r="F281" s="128" t="s">
        <v>7</v>
      </c>
      <c r="G281" s="128">
        <f>(4*2.8*5.6)+(1*4*5.6)</f>
        <v>85.11999999999999</v>
      </c>
      <c r="H281" s="128">
        <f>4+1</f>
        <v>5</v>
      </c>
      <c r="I281" s="128">
        <v>1</v>
      </c>
      <c r="J281" s="168"/>
      <c r="K281" s="169"/>
      <c r="L281" s="170"/>
      <c r="M281" s="21"/>
      <c r="O281" s="138"/>
      <c r="P281" s="135"/>
    </row>
    <row r="282" spans="1:16" ht="13.5" customHeight="1" thickBot="1" x14ac:dyDescent="0.3">
      <c r="A282" s="151" t="s">
        <v>253</v>
      </c>
      <c r="B282" s="152"/>
      <c r="C282" s="152"/>
      <c r="D282" s="152"/>
      <c r="E282" s="152"/>
      <c r="F282" s="152"/>
      <c r="G282" s="12"/>
      <c r="H282" s="12"/>
      <c r="I282" s="12"/>
      <c r="J282" s="12"/>
      <c r="K282" s="12"/>
      <c r="L282" s="12"/>
      <c r="M282" s="13"/>
      <c r="O282" s="138"/>
      <c r="P282" s="135"/>
    </row>
    <row r="283" spans="1:16" ht="13.5" customHeight="1" x14ac:dyDescent="0.25">
      <c r="A283" s="61">
        <v>222</v>
      </c>
      <c r="B283" s="15">
        <v>45759</v>
      </c>
      <c r="C283" s="16" t="s">
        <v>5</v>
      </c>
      <c r="D283" s="45" t="s">
        <v>254</v>
      </c>
      <c r="E283" s="16" t="s">
        <v>6</v>
      </c>
      <c r="F283" s="16" t="s">
        <v>7</v>
      </c>
      <c r="G283" s="41">
        <f>(50*8)</f>
        <v>400</v>
      </c>
      <c r="H283" s="16">
        <f>13+2</f>
        <v>15</v>
      </c>
      <c r="I283" s="16">
        <v>2</v>
      </c>
      <c r="J283" s="145" t="s">
        <v>443</v>
      </c>
      <c r="K283" s="146"/>
      <c r="L283" s="147"/>
      <c r="M283" s="17"/>
      <c r="O283" s="138"/>
      <c r="P283" s="135"/>
    </row>
    <row r="284" spans="1:16" ht="13.5" customHeight="1" x14ac:dyDescent="0.25">
      <c r="A284" s="18">
        <v>223</v>
      </c>
      <c r="B284" s="19">
        <v>45759</v>
      </c>
      <c r="C284" s="128" t="s">
        <v>5</v>
      </c>
      <c r="D284" s="46" t="s">
        <v>255</v>
      </c>
      <c r="E284" s="128" t="s">
        <v>6</v>
      </c>
      <c r="F284" s="128" t="s">
        <v>7</v>
      </c>
      <c r="G284" s="129">
        <f>(18*2.5*(5+3))+(3*3.6*(6+2))</f>
        <v>446.4</v>
      </c>
      <c r="H284" s="128">
        <f>18+3</f>
        <v>21</v>
      </c>
      <c r="I284" s="128">
        <f>3</f>
        <v>3</v>
      </c>
      <c r="J284" s="148"/>
      <c r="K284" s="149"/>
      <c r="L284" s="150"/>
      <c r="M284" s="21"/>
      <c r="O284" s="138"/>
      <c r="P284" s="135"/>
    </row>
    <row r="285" spans="1:16" ht="13.5" customHeight="1" thickBot="1" x14ac:dyDescent="0.3">
      <c r="A285" s="18">
        <v>224</v>
      </c>
      <c r="B285" s="19">
        <v>45759</v>
      </c>
      <c r="C285" s="128" t="s">
        <v>5</v>
      </c>
      <c r="D285" s="46" t="s">
        <v>256</v>
      </c>
      <c r="E285" s="128" t="s">
        <v>6</v>
      </c>
      <c r="F285" s="128" t="s">
        <v>7</v>
      </c>
      <c r="G285" s="44">
        <f>(38*6)</f>
        <v>228</v>
      </c>
      <c r="H285" s="128">
        <f>9+1</f>
        <v>10</v>
      </c>
      <c r="I285" s="128">
        <v>1</v>
      </c>
      <c r="J285" s="148"/>
      <c r="K285" s="149"/>
      <c r="L285" s="150"/>
      <c r="M285" s="21"/>
      <c r="O285" s="138"/>
      <c r="P285" s="135"/>
    </row>
    <row r="286" spans="1:16" ht="13.5" customHeight="1" thickBot="1" x14ac:dyDescent="0.3">
      <c r="A286" s="151" t="s">
        <v>257</v>
      </c>
      <c r="B286" s="152"/>
      <c r="C286" s="152"/>
      <c r="D286" s="152"/>
      <c r="E286" s="152"/>
      <c r="F286" s="152"/>
      <c r="G286" s="12"/>
      <c r="H286" s="12"/>
      <c r="I286" s="12"/>
      <c r="J286" s="12"/>
      <c r="K286" s="12"/>
      <c r="L286" s="12"/>
      <c r="M286" s="13"/>
      <c r="O286" s="138"/>
      <c r="P286" s="135"/>
    </row>
    <row r="287" spans="1:16" ht="21.75" customHeight="1" thickBot="1" x14ac:dyDescent="0.3">
      <c r="A287" s="81">
        <v>225</v>
      </c>
      <c r="B287" s="82">
        <v>45761</v>
      </c>
      <c r="C287" s="9" t="s">
        <v>5</v>
      </c>
      <c r="D287" s="102" t="s">
        <v>258</v>
      </c>
      <c r="E287" s="9" t="s">
        <v>6</v>
      </c>
      <c r="F287" s="9" t="s">
        <v>7</v>
      </c>
      <c r="G287" s="9">
        <f>34.4*9.5</f>
        <v>326.8</v>
      </c>
      <c r="H287" s="9">
        <f>9+2</f>
        <v>11</v>
      </c>
      <c r="I287" s="9">
        <v>2</v>
      </c>
      <c r="J287" s="171" t="s">
        <v>443</v>
      </c>
      <c r="K287" s="172"/>
      <c r="L287" s="173"/>
      <c r="M287" s="83"/>
      <c r="O287" s="138"/>
      <c r="P287" s="135"/>
    </row>
    <row r="288" spans="1:16" ht="13.5" customHeight="1" thickBot="1" x14ac:dyDescent="0.3">
      <c r="A288" s="151" t="s">
        <v>259</v>
      </c>
      <c r="B288" s="152"/>
      <c r="C288" s="152"/>
      <c r="D288" s="152"/>
      <c r="E288" s="152"/>
      <c r="F288" s="36"/>
      <c r="G288" s="36"/>
      <c r="H288" s="36"/>
      <c r="I288" s="36"/>
      <c r="J288" s="36"/>
      <c r="K288" s="36"/>
      <c r="L288" s="36"/>
      <c r="M288" s="37"/>
      <c r="O288" s="138"/>
      <c r="P288" s="135"/>
    </row>
    <row r="289" spans="1:16" ht="13.5" customHeight="1" x14ac:dyDescent="0.25">
      <c r="A289" s="18">
        <v>226</v>
      </c>
      <c r="B289" s="19">
        <v>45761</v>
      </c>
      <c r="C289" s="128" t="s">
        <v>5</v>
      </c>
      <c r="D289" s="103" t="s">
        <v>260</v>
      </c>
      <c r="E289" s="24" t="s">
        <v>6</v>
      </c>
      <c r="F289" s="24" t="s">
        <v>7</v>
      </c>
      <c r="G289" s="24">
        <f>2*7.5*3.5</f>
        <v>52.5</v>
      </c>
      <c r="H289" s="128">
        <f>1+1</f>
        <v>2</v>
      </c>
      <c r="I289" s="128">
        <v>1</v>
      </c>
      <c r="J289" s="145" t="s">
        <v>443</v>
      </c>
      <c r="K289" s="146"/>
      <c r="L289" s="147"/>
      <c r="M289" s="68"/>
      <c r="O289" s="138"/>
      <c r="P289" s="135"/>
    </row>
    <row r="290" spans="1:16" ht="13.5" customHeight="1" x14ac:dyDescent="0.25">
      <c r="A290" s="42">
        <v>227</v>
      </c>
      <c r="B290" s="48">
        <v>45761</v>
      </c>
      <c r="C290" s="129" t="s">
        <v>5</v>
      </c>
      <c r="D290" s="106" t="s">
        <v>261</v>
      </c>
      <c r="E290" s="49" t="s">
        <v>6</v>
      </c>
      <c r="F290" s="49" t="s">
        <v>7</v>
      </c>
      <c r="G290" s="49">
        <f>(39*3.6)</f>
        <v>140.4</v>
      </c>
      <c r="H290" s="129">
        <f>6+1</f>
        <v>7</v>
      </c>
      <c r="I290" s="129">
        <v>1</v>
      </c>
      <c r="J290" s="148"/>
      <c r="K290" s="149"/>
      <c r="L290" s="150"/>
      <c r="M290" s="69"/>
      <c r="O290" s="138"/>
      <c r="P290" s="135"/>
    </row>
    <row r="291" spans="1:16" ht="13.5" customHeight="1" x14ac:dyDescent="0.25">
      <c r="A291" s="42">
        <v>228</v>
      </c>
      <c r="B291" s="48">
        <v>45761</v>
      </c>
      <c r="C291" s="129" t="s">
        <v>5</v>
      </c>
      <c r="D291" s="106" t="s">
        <v>262</v>
      </c>
      <c r="E291" s="49" t="s">
        <v>6</v>
      </c>
      <c r="F291" s="49" t="s">
        <v>7</v>
      </c>
      <c r="G291" s="49">
        <f>(38.5*6.5)-12.5</f>
        <v>237.75</v>
      </c>
      <c r="H291" s="129">
        <f>9+2</f>
        <v>11</v>
      </c>
      <c r="I291" s="129">
        <v>2</v>
      </c>
      <c r="J291" s="148"/>
      <c r="K291" s="149"/>
      <c r="L291" s="150"/>
      <c r="M291" s="69"/>
      <c r="O291" s="138"/>
      <c r="P291" s="135"/>
    </row>
    <row r="292" spans="1:16" ht="13.5" customHeight="1" x14ac:dyDescent="0.25">
      <c r="A292" s="42">
        <v>229</v>
      </c>
      <c r="B292" s="48">
        <v>45761</v>
      </c>
      <c r="C292" s="129" t="s">
        <v>5</v>
      </c>
      <c r="D292" s="106" t="s">
        <v>263</v>
      </c>
      <c r="E292" s="49" t="s">
        <v>6</v>
      </c>
      <c r="F292" s="49" t="s">
        <v>7</v>
      </c>
      <c r="G292" s="49">
        <f>(4*8*2.7)+(1*9*2.7)</f>
        <v>110.7</v>
      </c>
      <c r="H292" s="129">
        <f>4+1</f>
        <v>5</v>
      </c>
      <c r="I292" s="129">
        <v>1</v>
      </c>
      <c r="J292" s="148"/>
      <c r="K292" s="149"/>
      <c r="L292" s="150"/>
      <c r="M292" s="69"/>
      <c r="O292" s="138"/>
      <c r="P292" s="135"/>
    </row>
    <row r="293" spans="1:16" ht="13.5" customHeight="1" x14ac:dyDescent="0.25">
      <c r="A293" s="42">
        <v>230</v>
      </c>
      <c r="B293" s="48">
        <v>45761</v>
      </c>
      <c r="C293" s="129" t="s">
        <v>5</v>
      </c>
      <c r="D293" s="106" t="s">
        <v>265</v>
      </c>
      <c r="E293" s="49" t="s">
        <v>6</v>
      </c>
      <c r="F293" s="49" t="s">
        <v>7</v>
      </c>
      <c r="G293" s="49">
        <f>58*5.2</f>
        <v>301.60000000000002</v>
      </c>
      <c r="H293" s="129">
        <f>16+2</f>
        <v>18</v>
      </c>
      <c r="I293" s="129">
        <v>2</v>
      </c>
      <c r="J293" s="148"/>
      <c r="K293" s="149"/>
      <c r="L293" s="150"/>
      <c r="M293" s="69"/>
      <c r="O293" s="138"/>
      <c r="P293" s="135"/>
    </row>
    <row r="294" spans="1:16" ht="13.5" customHeight="1" x14ac:dyDescent="0.25">
      <c r="A294" s="42">
        <v>231</v>
      </c>
      <c r="B294" s="48">
        <v>45761</v>
      </c>
      <c r="C294" s="49" t="s">
        <v>5</v>
      </c>
      <c r="D294" s="106" t="s">
        <v>487</v>
      </c>
      <c r="E294" s="49" t="s">
        <v>6</v>
      </c>
      <c r="F294" s="49" t="s">
        <v>7</v>
      </c>
      <c r="G294" s="55">
        <f>(55*5.8)</f>
        <v>319</v>
      </c>
      <c r="H294" s="49">
        <f>12+2</f>
        <v>14</v>
      </c>
      <c r="I294" s="49">
        <v>2</v>
      </c>
      <c r="J294" s="148"/>
      <c r="K294" s="149"/>
      <c r="L294" s="150"/>
      <c r="M294" s="75"/>
      <c r="O294" s="138"/>
      <c r="P294" s="135"/>
    </row>
    <row r="295" spans="1:16" ht="13.5" customHeight="1" x14ac:dyDescent="0.25">
      <c r="A295" s="42">
        <v>232</v>
      </c>
      <c r="B295" s="48">
        <v>45761</v>
      </c>
      <c r="C295" s="49" t="s">
        <v>5</v>
      </c>
      <c r="D295" s="106" t="s">
        <v>266</v>
      </c>
      <c r="E295" s="49" t="s">
        <v>6</v>
      </c>
      <c r="F295" s="49" t="s">
        <v>7</v>
      </c>
      <c r="G295" s="49">
        <f>(3*2.9*4.9)+((7*2.9*4.9)+(1*4*5.2))+((7*2.9*4.7)+(1*4*6))</f>
        <v>282.31</v>
      </c>
      <c r="H295" s="49">
        <f>3+7+1+7+1</f>
        <v>19</v>
      </c>
      <c r="I295" s="49">
        <v>2</v>
      </c>
      <c r="J295" s="148"/>
      <c r="K295" s="149"/>
      <c r="L295" s="150"/>
      <c r="M295" s="75"/>
      <c r="O295" s="138"/>
      <c r="P295" s="135"/>
    </row>
    <row r="296" spans="1:16" ht="13.5" customHeight="1" x14ac:dyDescent="0.25">
      <c r="A296" s="42">
        <v>233</v>
      </c>
      <c r="B296" s="48">
        <v>45761</v>
      </c>
      <c r="C296" s="49" t="s">
        <v>5</v>
      </c>
      <c r="D296" s="106" t="s">
        <v>267</v>
      </c>
      <c r="E296" s="49" t="s">
        <v>6</v>
      </c>
      <c r="F296" s="49" t="s">
        <v>7</v>
      </c>
      <c r="G296" s="49">
        <f>(18+18+45)*4.5</f>
        <v>364.5</v>
      </c>
      <c r="H296" s="49">
        <f>4+1+3+1+13+1</f>
        <v>23</v>
      </c>
      <c r="I296" s="49">
        <v>3</v>
      </c>
      <c r="J296" s="148"/>
      <c r="K296" s="149"/>
      <c r="L296" s="150"/>
      <c r="M296" s="75"/>
      <c r="O296" s="138"/>
      <c r="P296" s="135"/>
    </row>
    <row r="297" spans="1:16" ht="13.5" customHeight="1" thickBot="1" x14ac:dyDescent="0.3">
      <c r="A297" s="42">
        <v>234</v>
      </c>
      <c r="B297" s="48">
        <v>45761</v>
      </c>
      <c r="C297" s="49" t="s">
        <v>5</v>
      </c>
      <c r="D297" s="106" t="s">
        <v>264</v>
      </c>
      <c r="E297" s="49" t="s">
        <v>6</v>
      </c>
      <c r="F297" s="49" t="s">
        <v>7</v>
      </c>
      <c r="G297" s="55">
        <f>(23.5+23.5+23+19)*5</f>
        <v>445</v>
      </c>
      <c r="H297" s="49">
        <f>6+1+7+7+4+2</f>
        <v>27</v>
      </c>
      <c r="I297" s="49">
        <v>3</v>
      </c>
      <c r="J297" s="153"/>
      <c r="K297" s="154"/>
      <c r="L297" s="155"/>
      <c r="M297" s="75"/>
      <c r="O297" s="138"/>
      <c r="P297" s="135"/>
    </row>
    <row r="298" spans="1:16" ht="13.5" customHeight="1" thickBot="1" x14ac:dyDescent="0.3">
      <c r="A298" s="151" t="s">
        <v>268</v>
      </c>
      <c r="B298" s="152"/>
      <c r="C298" s="152"/>
      <c r="D298" s="152"/>
      <c r="E298" s="152"/>
      <c r="F298" s="36"/>
      <c r="G298" s="36"/>
      <c r="H298" s="36"/>
      <c r="I298" s="36"/>
      <c r="J298" s="36"/>
      <c r="K298" s="36"/>
      <c r="L298" s="36"/>
      <c r="M298" s="37"/>
      <c r="O298" s="138"/>
      <c r="P298" s="135"/>
    </row>
    <row r="299" spans="1:16" ht="13.5" customHeight="1" x14ac:dyDescent="0.25">
      <c r="A299" s="18">
        <v>235</v>
      </c>
      <c r="B299" s="19">
        <v>45762</v>
      </c>
      <c r="C299" s="128" t="s">
        <v>5</v>
      </c>
      <c r="D299" s="46" t="s">
        <v>269</v>
      </c>
      <c r="E299" s="128" t="s">
        <v>6</v>
      </c>
      <c r="F299" s="128" t="s">
        <v>7</v>
      </c>
      <c r="G299" s="128">
        <f>(22*2.8*5.5)+(3*4*6)</f>
        <v>410.79999999999995</v>
      </c>
      <c r="H299" s="128">
        <f>22+3</f>
        <v>25</v>
      </c>
      <c r="I299" s="128">
        <v>3</v>
      </c>
      <c r="J299" s="145" t="s">
        <v>440</v>
      </c>
      <c r="K299" s="146"/>
      <c r="L299" s="147"/>
      <c r="M299" s="84"/>
      <c r="O299" s="138"/>
      <c r="P299" s="135"/>
    </row>
    <row r="300" spans="1:16" ht="13.5" customHeight="1" x14ac:dyDescent="0.25">
      <c r="A300" s="85">
        <v>236</v>
      </c>
      <c r="B300" s="86">
        <v>45762</v>
      </c>
      <c r="C300" s="49" t="s">
        <v>5</v>
      </c>
      <c r="D300" s="106" t="s">
        <v>270</v>
      </c>
      <c r="E300" s="49" t="s">
        <v>6</v>
      </c>
      <c r="F300" s="49" t="s">
        <v>7</v>
      </c>
      <c r="G300" s="49">
        <f>28.5*5.5</f>
        <v>156.75</v>
      </c>
      <c r="H300" s="49">
        <f>8+1</f>
        <v>9</v>
      </c>
      <c r="I300" s="49">
        <v>1</v>
      </c>
      <c r="J300" s="148"/>
      <c r="K300" s="149"/>
      <c r="L300" s="150"/>
      <c r="M300" s="75"/>
      <c r="O300" s="138"/>
      <c r="P300" s="135"/>
    </row>
    <row r="301" spans="1:16" ht="13.5" customHeight="1" x14ac:dyDescent="0.25">
      <c r="A301" s="42">
        <v>237</v>
      </c>
      <c r="B301" s="86">
        <v>45762</v>
      </c>
      <c r="C301" s="129" t="s">
        <v>5</v>
      </c>
      <c r="D301" s="107" t="s">
        <v>271</v>
      </c>
      <c r="E301" s="129" t="s">
        <v>6</v>
      </c>
      <c r="F301" s="129" t="s">
        <v>7</v>
      </c>
      <c r="G301" s="129">
        <f>(9*2.9*5)+(1*4*6)+(4*2.9*5)+(1*4*6)</f>
        <v>236.5</v>
      </c>
      <c r="H301" s="129">
        <f>9+1+4+1</f>
        <v>15</v>
      </c>
      <c r="I301" s="129">
        <v>2</v>
      </c>
      <c r="J301" s="148"/>
      <c r="K301" s="149"/>
      <c r="L301" s="150"/>
      <c r="M301" s="69"/>
      <c r="O301" s="138"/>
      <c r="P301" s="135"/>
    </row>
    <row r="302" spans="1:16" ht="13.5" customHeight="1" x14ac:dyDescent="0.25">
      <c r="A302" s="85">
        <v>238</v>
      </c>
      <c r="B302" s="86">
        <v>45762</v>
      </c>
      <c r="C302" s="129" t="s">
        <v>5</v>
      </c>
      <c r="D302" s="107" t="s">
        <v>272</v>
      </c>
      <c r="E302" s="129" t="s">
        <v>6</v>
      </c>
      <c r="F302" s="129" t="s">
        <v>7</v>
      </c>
      <c r="G302" s="129">
        <f>2*7.5*3.5</f>
        <v>52.5</v>
      </c>
      <c r="H302" s="129">
        <f>1+1</f>
        <v>2</v>
      </c>
      <c r="I302" s="129">
        <v>1</v>
      </c>
      <c r="J302" s="148"/>
      <c r="K302" s="149"/>
      <c r="L302" s="150"/>
      <c r="M302" s="69"/>
      <c r="O302" s="138"/>
      <c r="P302" s="135"/>
    </row>
    <row r="303" spans="1:16" ht="13.5" customHeight="1" x14ac:dyDescent="0.25">
      <c r="A303" s="85">
        <v>239</v>
      </c>
      <c r="B303" s="86">
        <v>45762</v>
      </c>
      <c r="C303" s="129" t="s">
        <v>5</v>
      </c>
      <c r="D303" s="107" t="s">
        <v>273</v>
      </c>
      <c r="E303" s="129" t="s">
        <v>6</v>
      </c>
      <c r="F303" s="129" t="s">
        <v>7</v>
      </c>
      <c r="G303" s="129">
        <f>(17+27)*3.3</f>
        <v>145.19999999999999</v>
      </c>
      <c r="H303" s="129">
        <f>2+2+1</f>
        <v>5</v>
      </c>
      <c r="I303" s="129">
        <v>1</v>
      </c>
      <c r="J303" s="148"/>
      <c r="K303" s="149"/>
      <c r="L303" s="150"/>
      <c r="M303" s="69"/>
      <c r="O303" s="138"/>
      <c r="P303" s="135"/>
    </row>
    <row r="304" spans="1:16" ht="13.5" customHeight="1" x14ac:dyDescent="0.25">
      <c r="A304" s="42">
        <v>240</v>
      </c>
      <c r="B304" s="86">
        <v>45762</v>
      </c>
      <c r="C304" s="129" t="s">
        <v>5</v>
      </c>
      <c r="D304" s="107" t="s">
        <v>274</v>
      </c>
      <c r="E304" s="129" t="s">
        <v>6</v>
      </c>
      <c r="F304" s="129" t="s">
        <v>7</v>
      </c>
      <c r="G304" s="43">
        <f>(24*3)</f>
        <v>72</v>
      </c>
      <c r="H304" s="129">
        <f>2+1</f>
        <v>3</v>
      </c>
      <c r="I304" s="129">
        <v>1</v>
      </c>
      <c r="J304" s="148"/>
      <c r="K304" s="149"/>
      <c r="L304" s="150"/>
      <c r="M304" s="69"/>
      <c r="O304" s="138"/>
      <c r="P304" s="135"/>
    </row>
    <row r="305" spans="1:16" ht="13.5" customHeight="1" x14ac:dyDescent="0.25">
      <c r="A305" s="85">
        <v>241</v>
      </c>
      <c r="B305" s="86">
        <v>45762</v>
      </c>
      <c r="C305" s="49" t="s">
        <v>5</v>
      </c>
      <c r="D305" s="106" t="s">
        <v>275</v>
      </c>
      <c r="E305" s="49" t="s">
        <v>6</v>
      </c>
      <c r="F305" s="49" t="s">
        <v>7</v>
      </c>
      <c r="G305" s="55">
        <f>(35*((3.2+4)/2))</f>
        <v>126</v>
      </c>
      <c r="H305" s="49">
        <f>8+1</f>
        <v>9</v>
      </c>
      <c r="I305" s="49">
        <v>1</v>
      </c>
      <c r="J305" s="148"/>
      <c r="K305" s="149"/>
      <c r="L305" s="150"/>
      <c r="M305" s="75"/>
      <c r="O305" s="138"/>
      <c r="P305" s="135"/>
    </row>
    <row r="306" spans="1:16" ht="13.5" customHeight="1" x14ac:dyDescent="0.25">
      <c r="A306" s="85">
        <v>242</v>
      </c>
      <c r="B306" s="86">
        <v>45762</v>
      </c>
      <c r="C306" s="49" t="s">
        <v>5</v>
      </c>
      <c r="D306" s="106" t="s">
        <v>276</v>
      </c>
      <c r="E306" s="49" t="s">
        <v>6</v>
      </c>
      <c r="F306" s="49" t="s">
        <v>7</v>
      </c>
      <c r="G306" s="49">
        <f>11*7.5*1.7</f>
        <v>140.25</v>
      </c>
      <c r="H306" s="49">
        <f>9+2</f>
        <v>11</v>
      </c>
      <c r="I306" s="49">
        <v>2</v>
      </c>
      <c r="J306" s="148"/>
      <c r="K306" s="149"/>
      <c r="L306" s="150"/>
      <c r="M306" s="75"/>
      <c r="O306" s="138"/>
      <c r="P306" s="135"/>
    </row>
    <row r="307" spans="1:16" ht="13.5" customHeight="1" x14ac:dyDescent="0.25">
      <c r="A307" s="42">
        <v>243</v>
      </c>
      <c r="B307" s="86">
        <v>45762</v>
      </c>
      <c r="C307" s="49" t="s">
        <v>5</v>
      </c>
      <c r="D307" s="107" t="s">
        <v>277</v>
      </c>
      <c r="E307" s="49" t="s">
        <v>6</v>
      </c>
      <c r="F307" s="49" t="s">
        <v>7</v>
      </c>
      <c r="G307" s="55">
        <f>15.5*6</f>
        <v>93</v>
      </c>
      <c r="H307" s="49">
        <f>4+1</f>
        <v>5</v>
      </c>
      <c r="I307" s="49">
        <v>1</v>
      </c>
      <c r="J307" s="148"/>
      <c r="K307" s="149"/>
      <c r="L307" s="150"/>
      <c r="M307" s="75"/>
      <c r="O307" s="138"/>
      <c r="P307" s="135"/>
    </row>
    <row r="308" spans="1:16" ht="13.5" customHeight="1" x14ac:dyDescent="0.25">
      <c r="A308" s="85">
        <v>244</v>
      </c>
      <c r="B308" s="86">
        <v>45762</v>
      </c>
      <c r="C308" s="49" t="s">
        <v>5</v>
      </c>
      <c r="D308" s="107" t="s">
        <v>278</v>
      </c>
      <c r="E308" s="49" t="s">
        <v>6</v>
      </c>
      <c r="F308" s="49" t="s">
        <v>7</v>
      </c>
      <c r="G308" s="55">
        <f>3*8*2.5</f>
        <v>60</v>
      </c>
      <c r="H308" s="49">
        <f>2+1</f>
        <v>3</v>
      </c>
      <c r="I308" s="49">
        <v>1</v>
      </c>
      <c r="J308" s="148"/>
      <c r="K308" s="149"/>
      <c r="L308" s="150"/>
      <c r="M308" s="75"/>
      <c r="O308" s="138"/>
      <c r="P308" s="135"/>
    </row>
    <row r="309" spans="1:16" ht="13.5" customHeight="1" x14ac:dyDescent="0.25">
      <c r="A309" s="85">
        <v>245</v>
      </c>
      <c r="B309" s="86">
        <v>45762</v>
      </c>
      <c r="C309" s="49" t="s">
        <v>5</v>
      </c>
      <c r="D309" s="107" t="s">
        <v>279</v>
      </c>
      <c r="E309" s="49" t="s">
        <v>6</v>
      </c>
      <c r="F309" s="49" t="s">
        <v>7</v>
      </c>
      <c r="G309" s="49">
        <f>22*3.3</f>
        <v>72.599999999999994</v>
      </c>
      <c r="H309" s="49">
        <f>2+1</f>
        <v>3</v>
      </c>
      <c r="I309" s="49">
        <v>1</v>
      </c>
      <c r="J309" s="148"/>
      <c r="K309" s="149"/>
      <c r="L309" s="150"/>
      <c r="M309" s="75"/>
      <c r="O309" s="138"/>
      <c r="P309" s="135"/>
    </row>
    <row r="310" spans="1:16" ht="13.5" customHeight="1" thickBot="1" x14ac:dyDescent="0.3">
      <c r="A310" s="42">
        <v>246</v>
      </c>
      <c r="B310" s="48">
        <v>45762</v>
      </c>
      <c r="C310" s="129" t="s">
        <v>5</v>
      </c>
      <c r="D310" s="107" t="s">
        <v>280</v>
      </c>
      <c r="E310" s="129" t="s">
        <v>6</v>
      </c>
      <c r="F310" s="129" t="s">
        <v>7</v>
      </c>
      <c r="G310" s="43">
        <f>45+33</f>
        <v>78</v>
      </c>
      <c r="H310" s="129">
        <f>2+1</f>
        <v>3</v>
      </c>
      <c r="I310" s="129">
        <v>1</v>
      </c>
      <c r="J310" s="153"/>
      <c r="K310" s="154"/>
      <c r="L310" s="155"/>
      <c r="M310" s="69"/>
      <c r="O310" s="138"/>
      <c r="P310" s="135"/>
    </row>
    <row r="311" spans="1:16" ht="13.5" customHeight="1" thickBot="1" x14ac:dyDescent="0.3">
      <c r="A311" s="151" t="s">
        <v>390</v>
      </c>
      <c r="B311" s="152"/>
      <c r="C311" s="152"/>
      <c r="D311" s="152"/>
      <c r="E311" s="152"/>
      <c r="F311" s="152"/>
      <c r="G311" s="12"/>
      <c r="H311" s="12"/>
      <c r="I311" s="12"/>
      <c r="J311" s="12"/>
      <c r="K311" s="12"/>
      <c r="L311" s="12"/>
      <c r="M311" s="13"/>
      <c r="O311" s="138"/>
      <c r="P311" s="135"/>
    </row>
    <row r="312" spans="1:16" ht="13.5" customHeight="1" x14ac:dyDescent="0.25">
      <c r="A312" s="61">
        <v>247</v>
      </c>
      <c r="B312" s="79">
        <v>45763</v>
      </c>
      <c r="C312" s="38" t="s">
        <v>5</v>
      </c>
      <c r="D312" s="92" t="s">
        <v>391</v>
      </c>
      <c r="E312" s="38" t="s">
        <v>6</v>
      </c>
      <c r="F312" s="38" t="s">
        <v>7</v>
      </c>
      <c r="G312" s="38">
        <f>(25*6.5)</f>
        <v>162.5</v>
      </c>
      <c r="H312" s="38">
        <f>6+1</f>
        <v>7</v>
      </c>
      <c r="I312" s="38">
        <v>1</v>
      </c>
      <c r="J312" s="145" t="s">
        <v>443</v>
      </c>
      <c r="K312" s="146"/>
      <c r="L312" s="147"/>
      <c r="M312" s="80"/>
      <c r="O312" s="138"/>
      <c r="P312" s="135"/>
    </row>
    <row r="313" spans="1:16" ht="13.5" customHeight="1" thickBot="1" x14ac:dyDescent="0.3">
      <c r="A313" s="18">
        <v>248</v>
      </c>
      <c r="B313" s="19">
        <v>45763</v>
      </c>
      <c r="C313" s="128" t="s">
        <v>5</v>
      </c>
      <c r="D313" s="46" t="s">
        <v>392</v>
      </c>
      <c r="E313" s="128" t="s">
        <v>6</v>
      </c>
      <c r="F313" s="128" t="s">
        <v>7</v>
      </c>
      <c r="G313" s="44">
        <f>(5*7.5*3.4)+(1*7.5*3.4)</f>
        <v>153</v>
      </c>
      <c r="H313" s="128">
        <f>5+1</f>
        <v>6</v>
      </c>
      <c r="I313" s="128">
        <v>1</v>
      </c>
      <c r="J313" s="153"/>
      <c r="K313" s="154"/>
      <c r="L313" s="155"/>
      <c r="M313" s="21"/>
      <c r="O313" s="138"/>
      <c r="P313" s="135"/>
    </row>
    <row r="314" spans="1:16" ht="13.5" customHeight="1" thickBot="1" x14ac:dyDescent="0.3">
      <c r="A314" s="151" t="s">
        <v>281</v>
      </c>
      <c r="B314" s="152"/>
      <c r="C314" s="152"/>
      <c r="D314" s="152"/>
      <c r="E314" s="152"/>
      <c r="F314" s="152"/>
      <c r="G314" s="12"/>
      <c r="H314" s="12"/>
      <c r="I314" s="12"/>
      <c r="J314" s="12"/>
      <c r="K314" s="12"/>
      <c r="L314" s="12"/>
      <c r="M314" s="13"/>
      <c r="O314" s="138"/>
      <c r="P314" s="135"/>
    </row>
    <row r="315" spans="1:16" ht="21.75" customHeight="1" thickBot="1" x14ac:dyDescent="0.3">
      <c r="A315" s="14">
        <v>249</v>
      </c>
      <c r="B315" s="15">
        <v>45763</v>
      </c>
      <c r="C315" s="16" t="s">
        <v>5</v>
      </c>
      <c r="D315" s="45" t="s">
        <v>282</v>
      </c>
      <c r="E315" s="16" t="s">
        <v>6</v>
      </c>
      <c r="F315" s="16" t="s">
        <v>7</v>
      </c>
      <c r="G315" s="16">
        <f>(20*2.5*5)+(3*3.6*5)</f>
        <v>304</v>
      </c>
      <c r="H315" s="16">
        <f>20+3</f>
        <v>23</v>
      </c>
      <c r="I315" s="16">
        <v>3</v>
      </c>
      <c r="J315" s="145" t="s">
        <v>443</v>
      </c>
      <c r="K315" s="146"/>
      <c r="L315" s="147"/>
      <c r="M315" s="17"/>
      <c r="O315" s="138"/>
      <c r="P315" s="135"/>
    </row>
    <row r="316" spans="1:16" ht="13.5" customHeight="1" thickBot="1" x14ac:dyDescent="0.3">
      <c r="A316" s="151" t="s">
        <v>393</v>
      </c>
      <c r="B316" s="152"/>
      <c r="C316" s="152"/>
      <c r="D316" s="152"/>
      <c r="E316" s="152"/>
      <c r="F316" s="36"/>
      <c r="G316" s="36"/>
      <c r="H316" s="36"/>
      <c r="I316" s="36"/>
      <c r="J316" s="36"/>
      <c r="K316" s="36"/>
      <c r="L316" s="36"/>
      <c r="M316" s="37"/>
      <c r="O316" s="138"/>
      <c r="P316" s="135"/>
    </row>
    <row r="317" spans="1:16" ht="13.5" customHeight="1" x14ac:dyDescent="0.25">
      <c r="A317" s="87">
        <v>250</v>
      </c>
      <c r="B317" s="15">
        <v>45765</v>
      </c>
      <c r="C317" s="16" t="s">
        <v>5</v>
      </c>
      <c r="D317" s="45" t="s">
        <v>394</v>
      </c>
      <c r="E317" s="16" t="s">
        <v>6</v>
      </c>
      <c r="F317" s="16" t="s">
        <v>7</v>
      </c>
      <c r="G317" s="16">
        <f>(53.5*7)</f>
        <v>374.5</v>
      </c>
      <c r="H317" s="16">
        <f>14+2</f>
        <v>16</v>
      </c>
      <c r="I317" s="16">
        <v>2</v>
      </c>
      <c r="J317" s="145" t="s">
        <v>443</v>
      </c>
      <c r="K317" s="146"/>
      <c r="L317" s="147"/>
      <c r="M317" s="88"/>
      <c r="O317" s="138"/>
      <c r="P317" s="135"/>
    </row>
    <row r="318" spans="1:16" ht="13.5" customHeight="1" x14ac:dyDescent="0.25">
      <c r="A318" s="89">
        <v>251</v>
      </c>
      <c r="B318" s="48">
        <v>45765</v>
      </c>
      <c r="C318" s="129" t="s">
        <v>5</v>
      </c>
      <c r="D318" s="107" t="s">
        <v>395</v>
      </c>
      <c r="E318" s="129" t="s">
        <v>6</v>
      </c>
      <c r="F318" s="129" t="s">
        <v>7</v>
      </c>
      <c r="G318" s="129">
        <f>(11.5*5.5)</f>
        <v>63.25</v>
      </c>
      <c r="H318" s="129">
        <f>2+1</f>
        <v>3</v>
      </c>
      <c r="I318" s="129">
        <v>1</v>
      </c>
      <c r="J318" s="148"/>
      <c r="K318" s="149"/>
      <c r="L318" s="150"/>
      <c r="M318" s="69"/>
      <c r="O318" s="138"/>
      <c r="P318" s="135"/>
    </row>
    <row r="319" spans="1:16" ht="13.5" customHeight="1" x14ac:dyDescent="0.25">
      <c r="A319" s="89">
        <v>252</v>
      </c>
      <c r="B319" s="48">
        <v>45765</v>
      </c>
      <c r="C319" s="129" t="s">
        <v>5</v>
      </c>
      <c r="D319" s="107" t="s">
        <v>396</v>
      </c>
      <c r="E319" s="129" t="s">
        <v>6</v>
      </c>
      <c r="F319" s="129" t="s">
        <v>7</v>
      </c>
      <c r="G319" s="43">
        <f>(36*(3.5+6.5)/2)</f>
        <v>180</v>
      </c>
      <c r="H319" s="129">
        <f>9+1</f>
        <v>10</v>
      </c>
      <c r="I319" s="129">
        <v>1</v>
      </c>
      <c r="J319" s="148"/>
      <c r="K319" s="149"/>
      <c r="L319" s="150"/>
      <c r="M319" s="69"/>
      <c r="O319" s="138"/>
      <c r="P319" s="135"/>
    </row>
    <row r="320" spans="1:16" ht="13.5" customHeight="1" x14ac:dyDescent="0.25">
      <c r="A320" s="89">
        <v>253</v>
      </c>
      <c r="B320" s="48">
        <v>45765</v>
      </c>
      <c r="C320" s="129" t="s">
        <v>5</v>
      </c>
      <c r="D320" s="107" t="s">
        <v>397</v>
      </c>
      <c r="E320" s="129" t="s">
        <v>6</v>
      </c>
      <c r="F320" s="129" t="s">
        <v>7</v>
      </c>
      <c r="G320" s="129">
        <f>(18*2.6)+(18*2.6)</f>
        <v>93.600000000000009</v>
      </c>
      <c r="H320" s="129">
        <f>3+1</f>
        <v>4</v>
      </c>
      <c r="I320" s="129">
        <v>1</v>
      </c>
      <c r="J320" s="148"/>
      <c r="K320" s="149"/>
      <c r="L320" s="150"/>
      <c r="M320" s="69"/>
      <c r="O320" s="138"/>
      <c r="P320" s="135"/>
    </row>
    <row r="321" spans="1:16" ht="13.5" customHeight="1" x14ac:dyDescent="0.25">
      <c r="A321" s="89">
        <v>254</v>
      </c>
      <c r="B321" s="48">
        <v>45765</v>
      </c>
      <c r="C321" s="129" t="s">
        <v>5</v>
      </c>
      <c r="D321" s="107" t="s">
        <v>398</v>
      </c>
      <c r="E321" s="129" t="s">
        <v>6</v>
      </c>
      <c r="F321" s="129" t="s">
        <v>7</v>
      </c>
      <c r="G321" s="129">
        <f>(64*5.2)</f>
        <v>332.8</v>
      </c>
      <c r="H321" s="129">
        <f>16+2</f>
        <v>18</v>
      </c>
      <c r="I321" s="129">
        <v>2</v>
      </c>
      <c r="J321" s="148"/>
      <c r="K321" s="149"/>
      <c r="L321" s="150"/>
      <c r="M321" s="69"/>
      <c r="O321" s="138"/>
      <c r="P321" s="135"/>
    </row>
    <row r="322" spans="1:16" ht="13.5" customHeight="1" x14ac:dyDescent="0.25">
      <c r="A322" s="89">
        <v>255</v>
      </c>
      <c r="B322" s="48">
        <v>45765</v>
      </c>
      <c r="C322" s="49" t="s">
        <v>5</v>
      </c>
      <c r="D322" s="107" t="s">
        <v>399</v>
      </c>
      <c r="E322" s="49" t="s">
        <v>6</v>
      </c>
      <c r="F322" s="49" t="s">
        <v>7</v>
      </c>
      <c r="G322" s="49">
        <f>(18*3.8)</f>
        <v>68.399999999999991</v>
      </c>
      <c r="H322" s="49">
        <f>2+1</f>
        <v>3</v>
      </c>
      <c r="I322" s="49">
        <v>1</v>
      </c>
      <c r="J322" s="148"/>
      <c r="K322" s="149"/>
      <c r="L322" s="150"/>
      <c r="M322" s="75"/>
      <c r="O322" s="138"/>
      <c r="P322" s="135"/>
    </row>
    <row r="323" spans="1:16" ht="13.5" customHeight="1" x14ac:dyDescent="0.25">
      <c r="A323" s="89">
        <v>256</v>
      </c>
      <c r="B323" s="48">
        <v>45765</v>
      </c>
      <c r="C323" s="70" t="s">
        <v>5</v>
      </c>
      <c r="D323" s="110" t="s">
        <v>400</v>
      </c>
      <c r="E323" s="70" t="s">
        <v>6</v>
      </c>
      <c r="F323" s="70" t="s">
        <v>7</v>
      </c>
      <c r="G323" s="70">
        <f>(14.3*3.8)</f>
        <v>54.34</v>
      </c>
      <c r="H323" s="70">
        <f>3+1</f>
        <v>4</v>
      </c>
      <c r="I323" s="70">
        <v>1</v>
      </c>
      <c r="J323" s="148"/>
      <c r="K323" s="149"/>
      <c r="L323" s="150"/>
      <c r="M323" s="90"/>
      <c r="O323" s="138"/>
      <c r="P323" s="135"/>
    </row>
    <row r="324" spans="1:16" ht="13.5" customHeight="1" x14ac:dyDescent="0.25">
      <c r="A324" s="89">
        <v>257</v>
      </c>
      <c r="B324" s="48">
        <v>45765</v>
      </c>
      <c r="C324" s="70" t="s">
        <v>5</v>
      </c>
      <c r="D324" s="111" t="s">
        <v>476</v>
      </c>
      <c r="E324" s="49" t="s">
        <v>6</v>
      </c>
      <c r="F324" s="49" t="s">
        <v>7</v>
      </c>
      <c r="G324" s="49">
        <f>((83+70)/2)*19</f>
        <v>1453.5</v>
      </c>
      <c r="H324" s="49">
        <f>20+29+6</f>
        <v>55</v>
      </c>
      <c r="I324" s="49">
        <v>6</v>
      </c>
      <c r="J324" s="148"/>
      <c r="K324" s="149"/>
      <c r="L324" s="150"/>
      <c r="M324" s="75"/>
      <c r="O324" s="138"/>
      <c r="P324" s="135"/>
    </row>
    <row r="325" spans="1:16" ht="13.5" customHeight="1" thickBot="1" x14ac:dyDescent="0.3">
      <c r="A325" s="89">
        <v>258</v>
      </c>
      <c r="B325" s="58">
        <v>45765</v>
      </c>
      <c r="C325" s="65" t="s">
        <v>5</v>
      </c>
      <c r="D325" s="112" t="s">
        <v>477</v>
      </c>
      <c r="E325" s="65" t="s">
        <v>6</v>
      </c>
      <c r="F325" s="65" t="s">
        <v>7</v>
      </c>
      <c r="G325" s="66">
        <f>21*50</f>
        <v>1050</v>
      </c>
      <c r="H325" s="65">
        <f>13+3+13</f>
        <v>29</v>
      </c>
      <c r="I325" s="65">
        <v>3</v>
      </c>
      <c r="J325" s="153"/>
      <c r="K325" s="154"/>
      <c r="L325" s="155"/>
      <c r="M325" s="91"/>
      <c r="O325" s="138"/>
      <c r="P325" s="135"/>
    </row>
    <row r="326" spans="1:16" ht="13.5" customHeight="1" thickBot="1" x14ac:dyDescent="0.3">
      <c r="A326" s="151" t="s">
        <v>283</v>
      </c>
      <c r="B326" s="152"/>
      <c r="C326" s="152"/>
      <c r="D326" s="152"/>
      <c r="E326" s="152"/>
      <c r="F326" s="152"/>
      <c r="G326" s="12"/>
      <c r="H326" s="12"/>
      <c r="I326" s="12"/>
      <c r="J326" s="12"/>
      <c r="K326" s="12"/>
      <c r="L326" s="12"/>
      <c r="M326" s="13"/>
      <c r="O326" s="138"/>
      <c r="P326" s="135"/>
    </row>
    <row r="327" spans="1:16" ht="13.5" customHeight="1" x14ac:dyDescent="0.25">
      <c r="A327" s="61">
        <v>259</v>
      </c>
      <c r="B327" s="79">
        <v>45765</v>
      </c>
      <c r="C327" s="38" t="s">
        <v>5</v>
      </c>
      <c r="D327" s="92" t="s">
        <v>284</v>
      </c>
      <c r="E327" s="38" t="s">
        <v>6</v>
      </c>
      <c r="F327" s="38" t="s">
        <v>7</v>
      </c>
      <c r="G327" s="64">
        <f>(11*16)+((10*17)/2)</f>
        <v>261</v>
      </c>
      <c r="H327" s="38">
        <f>4+1</f>
        <v>5</v>
      </c>
      <c r="I327" s="38">
        <v>1</v>
      </c>
      <c r="J327" s="145" t="s">
        <v>443</v>
      </c>
      <c r="K327" s="146"/>
      <c r="L327" s="147"/>
      <c r="M327" s="80"/>
      <c r="O327" s="138"/>
      <c r="P327" s="135"/>
    </row>
    <row r="328" spans="1:16" ht="13.5" customHeight="1" thickBot="1" x14ac:dyDescent="0.3">
      <c r="A328" s="18">
        <v>260</v>
      </c>
      <c r="B328" s="19">
        <v>45765</v>
      </c>
      <c r="C328" s="128" t="s">
        <v>5</v>
      </c>
      <c r="D328" s="46" t="s">
        <v>285</v>
      </c>
      <c r="E328" s="128" t="s">
        <v>6</v>
      </c>
      <c r="F328" s="128" t="s">
        <v>7</v>
      </c>
      <c r="G328" s="40">
        <f>28*10</f>
        <v>280</v>
      </c>
      <c r="H328" s="128">
        <f>7+1</f>
        <v>8</v>
      </c>
      <c r="I328" s="128">
        <v>1</v>
      </c>
      <c r="J328" s="153"/>
      <c r="K328" s="154"/>
      <c r="L328" s="155"/>
      <c r="M328" s="21"/>
      <c r="O328" s="138"/>
      <c r="P328" s="135"/>
    </row>
    <row r="329" spans="1:16" ht="13.5" customHeight="1" thickBot="1" x14ac:dyDescent="0.3">
      <c r="A329" s="151" t="s">
        <v>286</v>
      </c>
      <c r="B329" s="152"/>
      <c r="C329" s="152"/>
      <c r="D329" s="152"/>
      <c r="E329" s="152"/>
      <c r="F329" s="152"/>
      <c r="G329" s="12"/>
      <c r="H329" s="12"/>
      <c r="I329" s="12"/>
      <c r="J329" s="12"/>
      <c r="K329" s="12"/>
      <c r="L329" s="12"/>
      <c r="M329" s="13"/>
      <c r="O329" s="138"/>
      <c r="P329" s="135"/>
    </row>
    <row r="330" spans="1:16" ht="21.75" customHeight="1" thickBot="1" x14ac:dyDescent="0.3">
      <c r="A330" s="14">
        <v>261</v>
      </c>
      <c r="B330" s="15">
        <v>45766</v>
      </c>
      <c r="C330" s="16" t="s">
        <v>5</v>
      </c>
      <c r="D330" s="45" t="s">
        <v>287</v>
      </c>
      <c r="E330" s="16" t="s">
        <v>6</v>
      </c>
      <c r="F330" s="16" t="s">
        <v>7</v>
      </c>
      <c r="G330" s="16">
        <f>(42*(2.8+4)/2)</f>
        <v>142.79999999999998</v>
      </c>
      <c r="H330" s="16">
        <f>4+1</f>
        <v>5</v>
      </c>
      <c r="I330" s="16">
        <v>1</v>
      </c>
      <c r="J330" s="145" t="s">
        <v>443</v>
      </c>
      <c r="K330" s="146"/>
      <c r="L330" s="147"/>
      <c r="M330" s="17"/>
      <c r="O330" s="138"/>
      <c r="P330" s="135"/>
    </row>
    <row r="331" spans="1:16" ht="13.5" customHeight="1" thickBot="1" x14ac:dyDescent="0.3">
      <c r="A331" s="151" t="s">
        <v>288</v>
      </c>
      <c r="B331" s="152"/>
      <c r="C331" s="152"/>
      <c r="D331" s="152"/>
      <c r="E331" s="152"/>
      <c r="F331" s="152"/>
      <c r="G331" s="12"/>
      <c r="H331" s="12"/>
      <c r="I331" s="12"/>
      <c r="J331" s="12"/>
      <c r="K331" s="12"/>
      <c r="L331" s="12"/>
      <c r="M331" s="13"/>
      <c r="O331" s="138"/>
      <c r="P331" s="135"/>
    </row>
    <row r="332" spans="1:16" ht="13.5" customHeight="1" x14ac:dyDescent="0.25">
      <c r="A332" s="61">
        <v>262</v>
      </c>
      <c r="B332" s="15">
        <v>45766</v>
      </c>
      <c r="C332" s="16" t="s">
        <v>5</v>
      </c>
      <c r="D332" s="45" t="s">
        <v>202</v>
      </c>
      <c r="E332" s="16" t="s">
        <v>6</v>
      </c>
      <c r="F332" s="16" t="s">
        <v>7</v>
      </c>
      <c r="G332" s="16">
        <f>(3*7.4*2.3)+(1*7.4*2.3)</f>
        <v>68.08</v>
      </c>
      <c r="H332" s="16">
        <f>3+1</f>
        <v>4</v>
      </c>
      <c r="I332" s="16">
        <v>1</v>
      </c>
      <c r="J332" s="145" t="s">
        <v>443</v>
      </c>
      <c r="K332" s="146"/>
      <c r="L332" s="147"/>
      <c r="M332" s="17"/>
      <c r="O332" s="138"/>
      <c r="P332" s="135"/>
    </row>
    <row r="333" spans="1:16" ht="13.5" customHeight="1" x14ac:dyDescent="0.25">
      <c r="A333" s="18">
        <v>263</v>
      </c>
      <c r="B333" s="19">
        <v>45766</v>
      </c>
      <c r="C333" s="128" t="s">
        <v>5</v>
      </c>
      <c r="D333" s="46" t="s">
        <v>289</v>
      </c>
      <c r="E333" s="128" t="s">
        <v>6</v>
      </c>
      <c r="F333" s="128" t="s">
        <v>7</v>
      </c>
      <c r="G333" s="43">
        <f>22*11</f>
        <v>242</v>
      </c>
      <c r="H333" s="128">
        <f>5+1</f>
        <v>6</v>
      </c>
      <c r="I333" s="128">
        <v>1</v>
      </c>
      <c r="J333" s="148"/>
      <c r="K333" s="149"/>
      <c r="L333" s="150"/>
      <c r="M333" s="21"/>
      <c r="O333" s="138"/>
      <c r="P333" s="135"/>
    </row>
    <row r="334" spans="1:16" ht="13.5" customHeight="1" x14ac:dyDescent="0.25">
      <c r="A334" s="18">
        <v>264</v>
      </c>
      <c r="B334" s="19">
        <v>45766</v>
      </c>
      <c r="C334" s="128" t="s">
        <v>5</v>
      </c>
      <c r="D334" s="46" t="s">
        <v>290</v>
      </c>
      <c r="E334" s="128" t="s">
        <v>6</v>
      </c>
      <c r="F334" s="128" t="s">
        <v>7</v>
      </c>
      <c r="G334" s="44">
        <f>(38*5)+(35*5)</f>
        <v>365</v>
      </c>
      <c r="H334" s="128">
        <f>6+1+9+1</f>
        <v>17</v>
      </c>
      <c r="I334" s="128">
        <v>2</v>
      </c>
      <c r="J334" s="148"/>
      <c r="K334" s="149"/>
      <c r="L334" s="150"/>
      <c r="M334" s="21"/>
      <c r="O334" s="138"/>
      <c r="P334" s="135"/>
    </row>
    <row r="335" spans="1:16" ht="13.5" customHeight="1" x14ac:dyDescent="0.25">
      <c r="A335" s="18">
        <v>265</v>
      </c>
      <c r="B335" s="19">
        <v>45766</v>
      </c>
      <c r="C335" s="128" t="s">
        <v>5</v>
      </c>
      <c r="D335" s="46" t="s">
        <v>291</v>
      </c>
      <c r="E335" s="128" t="s">
        <v>6</v>
      </c>
      <c r="F335" s="128" t="s">
        <v>7</v>
      </c>
      <c r="G335" s="44">
        <f>(24*2.7*6)+(3*3.6*6)</f>
        <v>453.60000000000008</v>
      </c>
      <c r="H335" s="128">
        <f>24+3</f>
        <v>27</v>
      </c>
      <c r="I335" s="128">
        <v>3</v>
      </c>
      <c r="J335" s="148"/>
      <c r="K335" s="149"/>
      <c r="L335" s="150"/>
      <c r="M335" s="21"/>
      <c r="O335" s="138"/>
      <c r="P335" s="135"/>
    </row>
    <row r="336" spans="1:16" ht="13.5" customHeight="1" x14ac:dyDescent="0.25">
      <c r="A336" s="18">
        <v>266</v>
      </c>
      <c r="B336" s="19">
        <v>45766</v>
      </c>
      <c r="C336" s="128" t="s">
        <v>5</v>
      </c>
      <c r="D336" s="46" t="s">
        <v>292</v>
      </c>
      <c r="E336" s="128" t="s">
        <v>6</v>
      </c>
      <c r="F336" s="128" t="s">
        <v>7</v>
      </c>
      <c r="G336" s="52">
        <f>(34*5)+(35*5)</f>
        <v>345</v>
      </c>
      <c r="H336" s="128">
        <f>7+1+10+1</f>
        <v>19</v>
      </c>
      <c r="I336" s="128">
        <v>2</v>
      </c>
      <c r="J336" s="148"/>
      <c r="K336" s="149"/>
      <c r="L336" s="150"/>
      <c r="M336" s="21"/>
      <c r="O336" s="138"/>
      <c r="P336" s="135"/>
    </row>
    <row r="337" spans="1:16" ht="13.5" customHeight="1" thickBot="1" x14ac:dyDescent="0.3">
      <c r="A337" s="32">
        <v>267</v>
      </c>
      <c r="B337" s="19">
        <v>45766</v>
      </c>
      <c r="C337" s="34" t="s">
        <v>5</v>
      </c>
      <c r="D337" s="105" t="s">
        <v>293</v>
      </c>
      <c r="E337" s="34" t="s">
        <v>6</v>
      </c>
      <c r="F337" s="34" t="s">
        <v>7</v>
      </c>
      <c r="G337" s="34">
        <f>(69*3.5)</f>
        <v>241.5</v>
      </c>
      <c r="H337" s="34">
        <f>8+1</f>
        <v>9</v>
      </c>
      <c r="I337" s="34">
        <v>1</v>
      </c>
      <c r="J337" s="153"/>
      <c r="K337" s="154"/>
      <c r="L337" s="155"/>
      <c r="M337" s="35"/>
      <c r="O337" s="138"/>
      <c r="P337" s="135"/>
    </row>
    <row r="338" spans="1:16" ht="13.5" customHeight="1" thickBot="1" x14ac:dyDescent="0.3">
      <c r="A338" s="151" t="s">
        <v>233</v>
      </c>
      <c r="B338" s="152"/>
      <c r="C338" s="152"/>
      <c r="D338" s="152"/>
      <c r="E338" s="152"/>
      <c r="F338" s="152"/>
      <c r="G338" s="12"/>
      <c r="H338" s="12"/>
      <c r="I338" s="12"/>
      <c r="J338" s="12"/>
      <c r="K338" s="12"/>
      <c r="L338" s="12"/>
      <c r="M338" s="13"/>
      <c r="O338" s="138"/>
      <c r="P338" s="135"/>
    </row>
    <row r="339" spans="1:16" ht="13.5" customHeight="1" x14ac:dyDescent="0.25">
      <c r="A339" s="14">
        <v>268</v>
      </c>
      <c r="B339" s="15">
        <v>45768</v>
      </c>
      <c r="C339" s="16" t="s">
        <v>5</v>
      </c>
      <c r="D339" s="45" t="s">
        <v>234</v>
      </c>
      <c r="E339" s="16" t="s">
        <v>6</v>
      </c>
      <c r="F339" s="16" t="s">
        <v>7</v>
      </c>
      <c r="G339" s="16">
        <f>(13*2.6*4.5)+(2*3.6*4.5)</f>
        <v>184.50000000000003</v>
      </c>
      <c r="H339" s="16">
        <f>13+2</f>
        <v>15</v>
      </c>
      <c r="I339" s="16">
        <v>2</v>
      </c>
      <c r="J339" s="145" t="s">
        <v>443</v>
      </c>
      <c r="K339" s="146"/>
      <c r="L339" s="147"/>
      <c r="M339" s="17"/>
      <c r="O339" s="138"/>
      <c r="P339" s="135"/>
    </row>
    <row r="340" spans="1:16" ht="13.5" customHeight="1" x14ac:dyDescent="0.25">
      <c r="A340" s="18">
        <v>269</v>
      </c>
      <c r="B340" s="19">
        <v>45768</v>
      </c>
      <c r="C340" s="128" t="s">
        <v>5</v>
      </c>
      <c r="D340" s="46" t="s">
        <v>235</v>
      </c>
      <c r="E340" s="128" t="s">
        <v>6</v>
      </c>
      <c r="F340" s="128" t="s">
        <v>7</v>
      </c>
      <c r="G340" s="43">
        <f>26*2.5</f>
        <v>65</v>
      </c>
      <c r="H340" s="128">
        <f>2+1</f>
        <v>3</v>
      </c>
      <c r="I340" s="128">
        <v>1</v>
      </c>
      <c r="J340" s="148"/>
      <c r="K340" s="149"/>
      <c r="L340" s="150"/>
      <c r="M340" s="21"/>
      <c r="O340" s="138"/>
      <c r="P340" s="135"/>
    </row>
    <row r="341" spans="1:16" ht="13.5" customHeight="1" thickBot="1" x14ac:dyDescent="0.3">
      <c r="A341" s="18">
        <v>270</v>
      </c>
      <c r="B341" s="19">
        <v>45768</v>
      </c>
      <c r="C341" s="128" t="s">
        <v>5</v>
      </c>
      <c r="D341" s="46" t="s">
        <v>236</v>
      </c>
      <c r="E341" s="128" t="s">
        <v>6</v>
      </c>
      <c r="F341" s="128" t="s">
        <v>7</v>
      </c>
      <c r="G341" s="44">
        <f>29*3</f>
        <v>87</v>
      </c>
      <c r="H341" s="128">
        <f>1+1</f>
        <v>2</v>
      </c>
      <c r="I341" s="128">
        <v>1</v>
      </c>
      <c r="J341" s="148"/>
      <c r="K341" s="149"/>
      <c r="L341" s="150"/>
      <c r="M341" s="21"/>
      <c r="O341" s="138"/>
      <c r="P341" s="135"/>
    </row>
    <row r="342" spans="1:16" ht="13.5" customHeight="1" thickBot="1" x14ac:dyDescent="0.3">
      <c r="A342" s="151" t="s">
        <v>294</v>
      </c>
      <c r="B342" s="152"/>
      <c r="C342" s="152"/>
      <c r="D342" s="152"/>
      <c r="E342" s="152"/>
      <c r="F342" s="152"/>
      <c r="G342" s="12"/>
      <c r="H342" s="12"/>
      <c r="I342" s="12"/>
      <c r="J342" s="12"/>
      <c r="K342" s="12"/>
      <c r="L342" s="12"/>
      <c r="M342" s="13"/>
      <c r="O342" s="138"/>
      <c r="P342" s="135"/>
    </row>
    <row r="343" spans="1:16" ht="13.5" customHeight="1" x14ac:dyDescent="0.25">
      <c r="A343" s="14">
        <v>271</v>
      </c>
      <c r="B343" s="15">
        <v>45768</v>
      </c>
      <c r="C343" s="16" t="s">
        <v>5</v>
      </c>
      <c r="D343" s="45" t="s">
        <v>295</v>
      </c>
      <c r="E343" s="16" t="s">
        <v>6</v>
      </c>
      <c r="F343" s="16" t="s">
        <v>7</v>
      </c>
      <c r="G343" s="16">
        <f>(((77+89)/2)*7.5)-(7.5*7.5)</f>
        <v>566.25</v>
      </c>
      <c r="H343" s="16">
        <f>18+2+6+1</f>
        <v>27</v>
      </c>
      <c r="I343" s="16">
        <f>2+1</f>
        <v>3</v>
      </c>
      <c r="J343" s="145" t="s">
        <v>443</v>
      </c>
      <c r="K343" s="146"/>
      <c r="L343" s="147"/>
      <c r="M343" s="17"/>
      <c r="O343" s="138"/>
      <c r="P343" s="135"/>
    </row>
    <row r="344" spans="1:16" ht="13.5" customHeight="1" x14ac:dyDescent="0.25">
      <c r="A344" s="18">
        <v>272</v>
      </c>
      <c r="B344" s="19">
        <v>45768</v>
      </c>
      <c r="C344" s="128" t="s">
        <v>5</v>
      </c>
      <c r="D344" s="46" t="s">
        <v>455</v>
      </c>
      <c r="E344" s="128" t="s">
        <v>6</v>
      </c>
      <c r="F344" s="128" t="s">
        <v>7</v>
      </c>
      <c r="G344" s="24">
        <f>67*26</f>
        <v>1742</v>
      </c>
      <c r="H344" s="24">
        <f>(18+2)+(18+2)</f>
        <v>40</v>
      </c>
      <c r="I344" s="24">
        <v>4</v>
      </c>
      <c r="J344" s="148"/>
      <c r="K344" s="149"/>
      <c r="L344" s="150"/>
      <c r="M344" s="21"/>
      <c r="O344" s="138"/>
      <c r="P344" s="135"/>
    </row>
    <row r="345" spans="1:16" ht="13.5" customHeight="1" thickBot="1" x14ac:dyDescent="0.3">
      <c r="A345" s="18">
        <v>273</v>
      </c>
      <c r="B345" s="19">
        <v>45768</v>
      </c>
      <c r="C345" s="128" t="s">
        <v>5</v>
      </c>
      <c r="D345" s="46" t="s">
        <v>296</v>
      </c>
      <c r="E345" s="128" t="s">
        <v>6</v>
      </c>
      <c r="F345" s="128" t="s">
        <v>7</v>
      </c>
      <c r="G345" s="129">
        <f>(10*2.5*5)+(1*3.6*6)</f>
        <v>146.6</v>
      </c>
      <c r="H345" s="128">
        <f>9+2</f>
        <v>11</v>
      </c>
      <c r="I345" s="128">
        <v>2</v>
      </c>
      <c r="J345" s="148"/>
      <c r="K345" s="149"/>
      <c r="L345" s="150"/>
      <c r="M345" s="21"/>
      <c r="O345" s="138"/>
      <c r="P345" s="135"/>
    </row>
    <row r="346" spans="1:16" ht="13.5" customHeight="1" thickBot="1" x14ac:dyDescent="0.3">
      <c r="A346" s="151" t="s">
        <v>434</v>
      </c>
      <c r="B346" s="152"/>
      <c r="C346" s="152"/>
      <c r="D346" s="152"/>
      <c r="E346" s="152"/>
      <c r="F346" s="36"/>
      <c r="G346" s="36"/>
      <c r="H346" s="36"/>
      <c r="I346" s="36"/>
      <c r="J346" s="36"/>
      <c r="K346" s="36"/>
      <c r="L346" s="36"/>
      <c r="M346" s="37"/>
      <c r="O346" s="138"/>
      <c r="P346" s="135"/>
    </row>
    <row r="347" spans="1:16" ht="13.5" customHeight="1" x14ac:dyDescent="0.25">
      <c r="A347" s="18">
        <v>274</v>
      </c>
      <c r="B347" s="19">
        <v>45768</v>
      </c>
      <c r="C347" s="128" t="s">
        <v>5</v>
      </c>
      <c r="D347" s="46" t="s">
        <v>126</v>
      </c>
      <c r="E347" s="128" t="s">
        <v>6</v>
      </c>
      <c r="F347" s="128" t="s">
        <v>7</v>
      </c>
      <c r="G347" s="128">
        <f>(4*7.7*3)+(4*7.7*3)</f>
        <v>184.8</v>
      </c>
      <c r="H347" s="128">
        <f>3+1+4</f>
        <v>8</v>
      </c>
      <c r="I347" s="128">
        <v>1</v>
      </c>
      <c r="J347" s="148" t="s">
        <v>443</v>
      </c>
      <c r="K347" s="149"/>
      <c r="L347" s="150"/>
      <c r="M347" s="68"/>
      <c r="O347" s="138"/>
      <c r="P347" s="135"/>
    </row>
    <row r="348" spans="1:16" ht="13.5" customHeight="1" x14ac:dyDescent="0.25">
      <c r="A348" s="42">
        <v>275</v>
      </c>
      <c r="B348" s="48">
        <v>45768</v>
      </c>
      <c r="C348" s="129" t="s">
        <v>5</v>
      </c>
      <c r="D348" s="107" t="s">
        <v>468</v>
      </c>
      <c r="E348" s="129" t="s">
        <v>6</v>
      </c>
      <c r="F348" s="129" t="s">
        <v>7</v>
      </c>
      <c r="G348" s="129">
        <f>(49*7.5)</f>
        <v>367.5</v>
      </c>
      <c r="H348" s="129">
        <f>14+2</f>
        <v>16</v>
      </c>
      <c r="I348" s="129">
        <v>2</v>
      </c>
      <c r="J348" s="148"/>
      <c r="K348" s="149"/>
      <c r="L348" s="150"/>
      <c r="M348" s="69"/>
      <c r="O348" s="138"/>
      <c r="P348" s="135"/>
    </row>
    <row r="349" spans="1:16" ht="13.5" customHeight="1" x14ac:dyDescent="0.25">
      <c r="A349" s="42">
        <v>276</v>
      </c>
      <c r="B349" s="48">
        <v>45768</v>
      </c>
      <c r="C349" s="129" t="s">
        <v>5</v>
      </c>
      <c r="D349" s="107" t="s">
        <v>127</v>
      </c>
      <c r="E349" s="129" t="s">
        <v>6</v>
      </c>
      <c r="F349" s="129" t="s">
        <v>7</v>
      </c>
      <c r="G349" s="129">
        <f>(5*2.9*5)+(1*4*6)</f>
        <v>96.5</v>
      </c>
      <c r="H349" s="129">
        <f>5+1</f>
        <v>6</v>
      </c>
      <c r="I349" s="129">
        <v>1</v>
      </c>
      <c r="J349" s="148"/>
      <c r="K349" s="149"/>
      <c r="L349" s="150"/>
      <c r="M349" s="69"/>
      <c r="O349" s="138"/>
      <c r="P349" s="135"/>
    </row>
    <row r="350" spans="1:16" ht="13.5" customHeight="1" x14ac:dyDescent="0.25">
      <c r="A350" s="18">
        <v>277</v>
      </c>
      <c r="B350" s="48">
        <v>45768</v>
      </c>
      <c r="C350" s="128" t="s">
        <v>5</v>
      </c>
      <c r="D350" s="46" t="s">
        <v>127</v>
      </c>
      <c r="E350" s="129" t="s">
        <v>6</v>
      </c>
      <c r="F350" s="129" t="s">
        <v>7</v>
      </c>
      <c r="G350" s="43">
        <f>(67*5)</f>
        <v>335</v>
      </c>
      <c r="H350" s="129">
        <f>22+3</f>
        <v>25</v>
      </c>
      <c r="I350" s="129">
        <v>3</v>
      </c>
      <c r="J350" s="148"/>
      <c r="K350" s="149"/>
      <c r="L350" s="150"/>
      <c r="M350" s="69"/>
      <c r="O350" s="138"/>
      <c r="P350" s="135"/>
    </row>
    <row r="351" spans="1:16" ht="13.5" customHeight="1" x14ac:dyDescent="0.25">
      <c r="A351" s="42">
        <v>278</v>
      </c>
      <c r="B351" s="48">
        <v>45768</v>
      </c>
      <c r="C351" s="129" t="s">
        <v>5</v>
      </c>
      <c r="D351" s="107" t="s">
        <v>128</v>
      </c>
      <c r="E351" s="129" t="s">
        <v>6</v>
      </c>
      <c r="F351" s="129" t="s">
        <v>7</v>
      </c>
      <c r="G351" s="129">
        <f>(4*2.5*5)+(1*3.6*5)+(39*2.5*5)+(4*3.6*5)+(29*2.5*6.5)+(3*3.6*7)</f>
        <v>1174.3499999999999</v>
      </c>
      <c r="H351" s="129">
        <f>4+1+39+4+29+3</f>
        <v>80</v>
      </c>
      <c r="I351" s="129">
        <f>1+4+3</f>
        <v>8</v>
      </c>
      <c r="J351" s="148"/>
      <c r="K351" s="149"/>
      <c r="L351" s="150"/>
      <c r="M351" s="69"/>
      <c r="O351" s="138"/>
      <c r="P351" s="135"/>
    </row>
    <row r="352" spans="1:16" ht="13.5" customHeight="1" thickBot="1" x14ac:dyDescent="0.3">
      <c r="A352" s="42">
        <v>279</v>
      </c>
      <c r="B352" s="48">
        <v>45768</v>
      </c>
      <c r="C352" s="129" t="s">
        <v>5</v>
      </c>
      <c r="D352" s="107" t="s">
        <v>129</v>
      </c>
      <c r="E352" s="129" t="s">
        <v>6</v>
      </c>
      <c r="F352" s="129" t="s">
        <v>7</v>
      </c>
      <c r="G352" s="43">
        <f>(19*6)</f>
        <v>114</v>
      </c>
      <c r="H352" s="129">
        <f>5+1</f>
        <v>6</v>
      </c>
      <c r="I352" s="129">
        <v>1</v>
      </c>
      <c r="J352" s="148"/>
      <c r="K352" s="149"/>
      <c r="L352" s="150"/>
      <c r="M352" s="69"/>
      <c r="O352" s="138"/>
      <c r="P352" s="135"/>
    </row>
    <row r="353" spans="1:16" ht="13.5" customHeight="1" thickBot="1" x14ac:dyDescent="0.3">
      <c r="A353" s="151" t="s">
        <v>297</v>
      </c>
      <c r="B353" s="152"/>
      <c r="C353" s="152"/>
      <c r="D353" s="152"/>
      <c r="E353" s="152"/>
      <c r="F353" s="152"/>
      <c r="G353" s="12"/>
      <c r="H353" s="12"/>
      <c r="I353" s="12"/>
      <c r="J353" s="12"/>
      <c r="K353" s="12"/>
      <c r="L353" s="12"/>
      <c r="M353" s="13"/>
      <c r="O353" s="138"/>
      <c r="P353" s="135"/>
    </row>
    <row r="354" spans="1:16" ht="13.5" customHeight="1" x14ac:dyDescent="0.25">
      <c r="A354" s="61">
        <v>280</v>
      </c>
      <c r="B354" s="79">
        <v>45771</v>
      </c>
      <c r="C354" s="38" t="s">
        <v>5</v>
      </c>
      <c r="D354" s="92" t="s">
        <v>299</v>
      </c>
      <c r="E354" s="38" t="s">
        <v>6</v>
      </c>
      <c r="F354" s="38" t="s">
        <v>7</v>
      </c>
      <c r="G354" s="38">
        <f>(19.5*9)</f>
        <v>175.5</v>
      </c>
      <c r="H354" s="38">
        <f>5+1</f>
        <v>6</v>
      </c>
      <c r="I354" s="38">
        <v>1</v>
      </c>
      <c r="J354" s="162" t="s">
        <v>443</v>
      </c>
      <c r="K354" s="163"/>
      <c r="L354" s="164"/>
      <c r="M354" s="80"/>
      <c r="O354" s="138"/>
      <c r="P354" s="135"/>
    </row>
    <row r="355" spans="1:16" ht="13.5" customHeight="1" x14ac:dyDescent="0.25">
      <c r="A355" s="22">
        <v>281</v>
      </c>
      <c r="B355" s="23">
        <v>45771</v>
      </c>
      <c r="C355" s="24" t="s">
        <v>5</v>
      </c>
      <c r="D355" s="103" t="s">
        <v>300</v>
      </c>
      <c r="E355" s="24" t="s">
        <v>6</v>
      </c>
      <c r="F355" s="24" t="s">
        <v>7</v>
      </c>
      <c r="G355" s="49">
        <f>(49*6.35)</f>
        <v>311.14999999999998</v>
      </c>
      <c r="H355" s="24">
        <f>13+2</f>
        <v>15</v>
      </c>
      <c r="I355" s="24">
        <v>2</v>
      </c>
      <c r="J355" s="165"/>
      <c r="K355" s="166"/>
      <c r="L355" s="167"/>
      <c r="M355" s="25"/>
      <c r="O355" s="138"/>
      <c r="P355" s="135"/>
    </row>
    <row r="356" spans="1:16" ht="13.5" customHeight="1" x14ac:dyDescent="0.25">
      <c r="A356" s="22">
        <v>282</v>
      </c>
      <c r="B356" s="23">
        <v>45771</v>
      </c>
      <c r="C356" s="24" t="s">
        <v>5</v>
      </c>
      <c r="D356" s="103" t="s">
        <v>301</v>
      </c>
      <c r="E356" s="24" t="s">
        <v>6</v>
      </c>
      <c r="F356" s="24" t="s">
        <v>7</v>
      </c>
      <c r="G356" s="24">
        <f>(13*3.1*4)+(2*4*3)</f>
        <v>185.20000000000002</v>
      </c>
      <c r="H356" s="24">
        <f>13+2</f>
        <v>15</v>
      </c>
      <c r="I356" s="24">
        <v>2</v>
      </c>
      <c r="J356" s="165"/>
      <c r="K356" s="166"/>
      <c r="L356" s="167"/>
      <c r="M356" s="25"/>
      <c r="O356" s="138"/>
      <c r="P356" s="135"/>
    </row>
    <row r="357" spans="1:16" ht="13.5" customHeight="1" thickBot="1" x14ac:dyDescent="0.3">
      <c r="A357" s="22">
        <v>283</v>
      </c>
      <c r="B357" s="23">
        <v>45771</v>
      </c>
      <c r="C357" s="24" t="s">
        <v>5</v>
      </c>
      <c r="D357" s="103" t="s">
        <v>298</v>
      </c>
      <c r="E357" s="24" t="s">
        <v>6</v>
      </c>
      <c r="F357" s="24" t="s">
        <v>7</v>
      </c>
      <c r="G357" s="24">
        <f>(106*5.2)</f>
        <v>551.20000000000005</v>
      </c>
      <c r="H357" s="24">
        <f>33+4</f>
        <v>37</v>
      </c>
      <c r="I357" s="24">
        <v>4</v>
      </c>
      <c r="J357" s="168"/>
      <c r="K357" s="169"/>
      <c r="L357" s="170"/>
      <c r="M357" s="25"/>
      <c r="O357" s="138"/>
      <c r="P357" s="135"/>
    </row>
    <row r="358" spans="1:16" ht="13.5" customHeight="1" thickBot="1" x14ac:dyDescent="0.3">
      <c r="A358" s="151" t="s">
        <v>302</v>
      </c>
      <c r="B358" s="152"/>
      <c r="C358" s="152"/>
      <c r="D358" s="152"/>
      <c r="E358" s="152"/>
      <c r="F358" s="152"/>
      <c r="G358" s="12"/>
      <c r="H358" s="12"/>
      <c r="I358" s="12"/>
      <c r="J358" s="12"/>
      <c r="K358" s="12"/>
      <c r="L358" s="12"/>
      <c r="M358" s="13"/>
      <c r="O358" s="138"/>
      <c r="P358" s="135"/>
    </row>
    <row r="359" spans="1:16" ht="21.75" customHeight="1" thickBot="1" x14ac:dyDescent="0.3">
      <c r="A359" s="14">
        <v>284</v>
      </c>
      <c r="B359" s="15">
        <v>45771</v>
      </c>
      <c r="C359" s="16" t="s">
        <v>5</v>
      </c>
      <c r="D359" s="45" t="s">
        <v>303</v>
      </c>
      <c r="E359" s="16" t="s">
        <v>6</v>
      </c>
      <c r="F359" s="16" t="s">
        <v>7</v>
      </c>
      <c r="G359" s="16">
        <f>(16*3*(5+3))+(2*3.6*(6+2))</f>
        <v>441.6</v>
      </c>
      <c r="H359" s="16">
        <f>16+2</f>
        <v>18</v>
      </c>
      <c r="I359" s="16">
        <v>2</v>
      </c>
      <c r="J359" s="145" t="s">
        <v>443</v>
      </c>
      <c r="K359" s="146"/>
      <c r="L359" s="147"/>
      <c r="M359" s="17"/>
      <c r="O359" s="138"/>
      <c r="P359" s="135"/>
    </row>
    <row r="360" spans="1:16" ht="13.5" customHeight="1" thickBot="1" x14ac:dyDescent="0.3">
      <c r="A360" s="151" t="s">
        <v>156</v>
      </c>
      <c r="B360" s="152"/>
      <c r="C360" s="152"/>
      <c r="D360" s="152"/>
      <c r="E360" s="152"/>
      <c r="F360" s="152"/>
      <c r="G360" s="12"/>
      <c r="H360" s="12"/>
      <c r="I360" s="12"/>
      <c r="J360" s="12"/>
      <c r="K360" s="12"/>
      <c r="L360" s="12"/>
      <c r="M360" s="13"/>
      <c r="O360" s="138"/>
      <c r="P360" s="135"/>
    </row>
    <row r="361" spans="1:16" ht="13.5" customHeight="1" x14ac:dyDescent="0.25">
      <c r="A361" s="14">
        <v>285</v>
      </c>
      <c r="B361" s="15">
        <v>45772</v>
      </c>
      <c r="C361" s="16" t="s">
        <v>5</v>
      </c>
      <c r="D361" s="45" t="s">
        <v>157</v>
      </c>
      <c r="E361" s="16" t="s">
        <v>6</v>
      </c>
      <c r="F361" s="16" t="s">
        <v>7</v>
      </c>
      <c r="G361" s="16">
        <f>(12*5.6)</f>
        <v>67.199999999999989</v>
      </c>
      <c r="H361" s="16">
        <f>2+1</f>
        <v>3</v>
      </c>
      <c r="I361" s="16">
        <v>1</v>
      </c>
      <c r="J361" s="145" t="s">
        <v>443</v>
      </c>
      <c r="K361" s="146"/>
      <c r="L361" s="147"/>
      <c r="M361" s="17"/>
      <c r="O361" s="138"/>
      <c r="P361" s="135"/>
    </row>
    <row r="362" spans="1:16" ht="13.5" customHeight="1" x14ac:dyDescent="0.25">
      <c r="A362" s="18">
        <v>286</v>
      </c>
      <c r="B362" s="19">
        <v>45772</v>
      </c>
      <c r="C362" s="128" t="s">
        <v>5</v>
      </c>
      <c r="D362" s="46" t="s">
        <v>158</v>
      </c>
      <c r="E362" s="128" t="s">
        <v>6</v>
      </c>
      <c r="F362" s="128" t="s">
        <v>7</v>
      </c>
      <c r="G362" s="129">
        <f>(5*2.5*5.6)+(1*3.6*6)</f>
        <v>91.6</v>
      </c>
      <c r="H362" s="128">
        <f>5+1</f>
        <v>6</v>
      </c>
      <c r="I362" s="128">
        <v>1</v>
      </c>
      <c r="J362" s="148"/>
      <c r="K362" s="149"/>
      <c r="L362" s="150"/>
      <c r="M362" s="21"/>
      <c r="O362" s="138"/>
      <c r="P362" s="135"/>
    </row>
    <row r="363" spans="1:16" ht="13.5" customHeight="1" thickBot="1" x14ac:dyDescent="0.3">
      <c r="A363" s="18">
        <v>287</v>
      </c>
      <c r="B363" s="19">
        <v>45772</v>
      </c>
      <c r="C363" s="128" t="s">
        <v>5</v>
      </c>
      <c r="D363" s="46" t="s">
        <v>159</v>
      </c>
      <c r="E363" s="128" t="s">
        <v>6</v>
      </c>
      <c r="F363" s="128" t="s">
        <v>7</v>
      </c>
      <c r="G363" s="44">
        <f>20*3</f>
        <v>60</v>
      </c>
      <c r="H363" s="128">
        <f>1+1</f>
        <v>2</v>
      </c>
      <c r="I363" s="128">
        <v>1</v>
      </c>
      <c r="J363" s="148"/>
      <c r="K363" s="149"/>
      <c r="L363" s="150"/>
      <c r="M363" s="21"/>
      <c r="O363" s="138"/>
      <c r="P363" s="135"/>
    </row>
    <row r="364" spans="1:16" ht="13.5" customHeight="1" thickBot="1" x14ac:dyDescent="0.3">
      <c r="A364" s="151" t="s">
        <v>304</v>
      </c>
      <c r="B364" s="152"/>
      <c r="C364" s="152"/>
      <c r="D364" s="152"/>
      <c r="E364" s="152"/>
      <c r="F364" s="152"/>
      <c r="G364" s="12"/>
      <c r="H364" s="12"/>
      <c r="I364" s="12"/>
      <c r="J364" s="12"/>
      <c r="K364" s="12"/>
      <c r="L364" s="12"/>
      <c r="M364" s="13"/>
      <c r="O364" s="138"/>
      <c r="P364" s="135"/>
    </row>
    <row r="365" spans="1:16" ht="13.5" customHeight="1" x14ac:dyDescent="0.25">
      <c r="A365" s="61">
        <v>288</v>
      </c>
      <c r="B365" s="79">
        <v>45772</v>
      </c>
      <c r="C365" s="38" t="s">
        <v>5</v>
      </c>
      <c r="D365" s="92" t="s">
        <v>305</v>
      </c>
      <c r="E365" s="38" t="s">
        <v>6</v>
      </c>
      <c r="F365" s="38" t="s">
        <v>7</v>
      </c>
      <c r="G365" s="38">
        <f>(15*6)</f>
        <v>90</v>
      </c>
      <c r="H365" s="38">
        <f>4+1</f>
        <v>5</v>
      </c>
      <c r="I365" s="38">
        <v>1</v>
      </c>
      <c r="J365" s="162" t="s">
        <v>443</v>
      </c>
      <c r="K365" s="163"/>
      <c r="L365" s="164"/>
      <c r="M365" s="80"/>
      <c r="O365" s="138"/>
      <c r="P365" s="135"/>
    </row>
    <row r="366" spans="1:16" ht="13.5" customHeight="1" x14ac:dyDescent="0.25">
      <c r="A366" s="22">
        <v>289</v>
      </c>
      <c r="B366" s="23">
        <v>45772</v>
      </c>
      <c r="C366" s="24" t="s">
        <v>5</v>
      </c>
      <c r="D366" s="103" t="s">
        <v>306</v>
      </c>
      <c r="E366" s="24" t="s">
        <v>6</v>
      </c>
      <c r="F366" s="24" t="s">
        <v>7</v>
      </c>
      <c r="G366" s="49">
        <f>(7*2.9*5)+(1*4*6)</f>
        <v>125.5</v>
      </c>
      <c r="H366" s="24">
        <f>7+1</f>
        <v>8</v>
      </c>
      <c r="I366" s="24">
        <v>1</v>
      </c>
      <c r="J366" s="165"/>
      <c r="K366" s="166"/>
      <c r="L366" s="167"/>
      <c r="M366" s="25"/>
      <c r="O366" s="138"/>
      <c r="P366" s="135"/>
    </row>
    <row r="367" spans="1:16" ht="13.5" customHeight="1" x14ac:dyDescent="0.25">
      <c r="A367" s="22">
        <v>290</v>
      </c>
      <c r="B367" s="23">
        <v>45772</v>
      </c>
      <c r="C367" s="24" t="s">
        <v>5</v>
      </c>
      <c r="D367" s="103" t="s">
        <v>307</v>
      </c>
      <c r="E367" s="24" t="s">
        <v>6</v>
      </c>
      <c r="F367" s="24" t="s">
        <v>7</v>
      </c>
      <c r="G367" s="24">
        <f>(26.5*5)</f>
        <v>132.5</v>
      </c>
      <c r="H367" s="24">
        <f>4+3+1</f>
        <v>8</v>
      </c>
      <c r="I367" s="24">
        <v>1</v>
      </c>
      <c r="J367" s="165"/>
      <c r="K367" s="166"/>
      <c r="L367" s="167"/>
      <c r="M367" s="25"/>
      <c r="O367" s="138"/>
      <c r="P367" s="135"/>
    </row>
    <row r="368" spans="1:16" ht="13.5" customHeight="1" thickBot="1" x14ac:dyDescent="0.3">
      <c r="A368" s="22">
        <v>291</v>
      </c>
      <c r="B368" s="23">
        <v>45772</v>
      </c>
      <c r="C368" s="24" t="s">
        <v>5</v>
      </c>
      <c r="D368" s="103" t="s">
        <v>308</v>
      </c>
      <c r="E368" s="24" t="s">
        <v>6</v>
      </c>
      <c r="F368" s="24" t="s">
        <v>7</v>
      </c>
      <c r="G368" s="24">
        <f>2*8.5*2.75</f>
        <v>46.75</v>
      </c>
      <c r="H368" s="24">
        <f>1+1</f>
        <v>2</v>
      </c>
      <c r="I368" s="24">
        <v>1</v>
      </c>
      <c r="J368" s="168"/>
      <c r="K368" s="169"/>
      <c r="L368" s="170"/>
      <c r="M368" s="25"/>
      <c r="O368" s="138"/>
      <c r="P368" s="135"/>
    </row>
    <row r="369" spans="1:16" ht="13.5" customHeight="1" thickBot="1" x14ac:dyDescent="0.3">
      <c r="A369" s="151" t="s">
        <v>309</v>
      </c>
      <c r="B369" s="152"/>
      <c r="C369" s="152"/>
      <c r="D369" s="152"/>
      <c r="E369" s="152"/>
      <c r="F369" s="36"/>
      <c r="G369" s="36"/>
      <c r="H369" s="36"/>
      <c r="I369" s="36"/>
      <c r="J369" s="36"/>
      <c r="K369" s="36"/>
      <c r="L369" s="36"/>
      <c r="M369" s="37"/>
      <c r="O369" s="138"/>
      <c r="P369" s="135"/>
    </row>
    <row r="370" spans="1:16" ht="13.5" customHeight="1" x14ac:dyDescent="0.25">
      <c r="A370" s="18">
        <v>292</v>
      </c>
      <c r="B370" s="19">
        <v>45775</v>
      </c>
      <c r="C370" s="128" t="s">
        <v>5</v>
      </c>
      <c r="D370" s="46" t="s">
        <v>310</v>
      </c>
      <c r="E370" s="128" t="s">
        <v>6</v>
      </c>
      <c r="F370" s="128" t="s">
        <v>7</v>
      </c>
      <c r="G370" s="24">
        <f>(33*5.5)</f>
        <v>181.5</v>
      </c>
      <c r="H370" s="128">
        <f>9+1</f>
        <v>10</v>
      </c>
      <c r="I370" s="128">
        <v>1</v>
      </c>
      <c r="J370" s="145" t="s">
        <v>443</v>
      </c>
      <c r="K370" s="146"/>
      <c r="L370" s="147"/>
      <c r="M370" s="68"/>
      <c r="O370" s="138"/>
      <c r="P370" s="135"/>
    </row>
    <row r="371" spans="1:16" ht="13.5" customHeight="1" x14ac:dyDescent="0.25">
      <c r="A371" s="42">
        <v>293</v>
      </c>
      <c r="B371" s="48">
        <v>45775</v>
      </c>
      <c r="C371" s="129" t="s">
        <v>5</v>
      </c>
      <c r="D371" s="107" t="s">
        <v>311</v>
      </c>
      <c r="E371" s="129" t="s">
        <v>6</v>
      </c>
      <c r="F371" s="129" t="s">
        <v>7</v>
      </c>
      <c r="G371" s="129">
        <f>(12*4.5)+(32*2.8)</f>
        <v>143.6</v>
      </c>
      <c r="H371" s="129">
        <f>2+4</f>
        <v>6</v>
      </c>
      <c r="I371" s="129">
        <v>2</v>
      </c>
      <c r="J371" s="148"/>
      <c r="K371" s="149"/>
      <c r="L371" s="150"/>
      <c r="M371" s="69"/>
      <c r="O371" s="138"/>
      <c r="P371" s="135"/>
    </row>
    <row r="372" spans="1:16" ht="13.5" customHeight="1" x14ac:dyDescent="0.25">
      <c r="A372" s="42">
        <v>294</v>
      </c>
      <c r="B372" s="48">
        <v>45775</v>
      </c>
      <c r="C372" s="129" t="s">
        <v>5</v>
      </c>
      <c r="D372" s="107" t="s">
        <v>312</v>
      </c>
      <c r="E372" s="129" t="s">
        <v>6</v>
      </c>
      <c r="F372" s="129" t="s">
        <v>7</v>
      </c>
      <c r="G372" s="129">
        <f>(47*5.7)</f>
        <v>267.90000000000003</v>
      </c>
      <c r="H372" s="129">
        <f>9+2</f>
        <v>11</v>
      </c>
      <c r="I372" s="129">
        <v>2</v>
      </c>
      <c r="J372" s="148"/>
      <c r="K372" s="149"/>
      <c r="L372" s="150"/>
      <c r="M372" s="69"/>
      <c r="O372" s="138"/>
      <c r="P372" s="135"/>
    </row>
    <row r="373" spans="1:16" ht="13.5" customHeight="1" x14ac:dyDescent="0.25">
      <c r="A373" s="42">
        <v>295</v>
      </c>
      <c r="B373" s="48">
        <v>45775</v>
      </c>
      <c r="C373" s="129" t="s">
        <v>5</v>
      </c>
      <c r="D373" s="107" t="s">
        <v>313</v>
      </c>
      <c r="E373" s="129" t="s">
        <v>6</v>
      </c>
      <c r="F373" s="129" t="s">
        <v>7</v>
      </c>
      <c r="G373" s="43">
        <f>(12*5)+(15*5)+(25*5)</f>
        <v>260</v>
      </c>
      <c r="H373" s="129">
        <f>12+2</f>
        <v>14</v>
      </c>
      <c r="I373" s="129">
        <v>2</v>
      </c>
      <c r="J373" s="148"/>
      <c r="K373" s="149"/>
      <c r="L373" s="150"/>
      <c r="M373" s="69"/>
      <c r="O373" s="138"/>
      <c r="P373" s="135"/>
    </row>
    <row r="374" spans="1:16" ht="13.5" customHeight="1" x14ac:dyDescent="0.25">
      <c r="A374" s="42">
        <v>296</v>
      </c>
      <c r="B374" s="48">
        <v>45775</v>
      </c>
      <c r="C374" s="129" t="s">
        <v>5</v>
      </c>
      <c r="D374" s="107" t="s">
        <v>314</v>
      </c>
      <c r="E374" s="129" t="s">
        <v>6</v>
      </c>
      <c r="F374" s="129" t="s">
        <v>7</v>
      </c>
      <c r="G374" s="129">
        <f>(19*3.8)</f>
        <v>72.2</v>
      </c>
      <c r="H374" s="129">
        <f>4+1</f>
        <v>5</v>
      </c>
      <c r="I374" s="129">
        <v>1</v>
      </c>
      <c r="J374" s="148"/>
      <c r="K374" s="149"/>
      <c r="L374" s="150"/>
      <c r="M374" s="69"/>
      <c r="O374" s="138"/>
      <c r="P374" s="135"/>
    </row>
    <row r="375" spans="1:16" ht="13.5" customHeight="1" x14ac:dyDescent="0.25">
      <c r="A375" s="42">
        <v>297</v>
      </c>
      <c r="B375" s="48">
        <v>45775</v>
      </c>
      <c r="C375" s="49" t="s">
        <v>5</v>
      </c>
      <c r="D375" s="106" t="s">
        <v>315</v>
      </c>
      <c r="E375" s="49" t="s">
        <v>6</v>
      </c>
      <c r="F375" s="49" t="s">
        <v>7</v>
      </c>
      <c r="G375" s="55">
        <f>33*3</f>
        <v>99</v>
      </c>
      <c r="H375" s="49">
        <f>3+1</f>
        <v>4</v>
      </c>
      <c r="I375" s="49">
        <v>1</v>
      </c>
      <c r="J375" s="148"/>
      <c r="K375" s="149"/>
      <c r="L375" s="150"/>
      <c r="M375" s="75"/>
      <c r="O375" s="138"/>
      <c r="P375" s="135"/>
    </row>
    <row r="376" spans="1:16" ht="13.5" customHeight="1" thickBot="1" x14ac:dyDescent="0.3">
      <c r="A376" s="42">
        <v>298</v>
      </c>
      <c r="B376" s="48">
        <v>45775</v>
      </c>
      <c r="C376" s="49" t="s">
        <v>5</v>
      </c>
      <c r="D376" s="107" t="s">
        <v>316</v>
      </c>
      <c r="E376" s="49" t="s">
        <v>6</v>
      </c>
      <c r="F376" s="49" t="s">
        <v>7</v>
      </c>
      <c r="G376" s="49">
        <f>18*3.8</f>
        <v>68.399999999999991</v>
      </c>
      <c r="H376" s="49">
        <f>2+1</f>
        <v>3</v>
      </c>
      <c r="I376" s="49">
        <v>1</v>
      </c>
      <c r="J376" s="153"/>
      <c r="K376" s="154"/>
      <c r="L376" s="155"/>
      <c r="M376" s="75"/>
      <c r="O376" s="138"/>
      <c r="P376" s="135"/>
    </row>
    <row r="377" spans="1:16" ht="13.5" customHeight="1" thickBot="1" x14ac:dyDescent="0.3">
      <c r="A377" s="151" t="s">
        <v>435</v>
      </c>
      <c r="B377" s="152"/>
      <c r="C377" s="152"/>
      <c r="D377" s="152"/>
      <c r="E377" s="152"/>
      <c r="F377" s="36"/>
      <c r="G377" s="36"/>
      <c r="H377" s="36"/>
      <c r="I377" s="36"/>
      <c r="J377" s="36"/>
      <c r="K377" s="36"/>
      <c r="L377" s="36"/>
      <c r="M377" s="37"/>
      <c r="O377" s="138"/>
      <c r="P377" s="135"/>
    </row>
    <row r="378" spans="1:16" ht="13.5" customHeight="1" x14ac:dyDescent="0.25">
      <c r="A378" s="18">
        <v>299</v>
      </c>
      <c r="B378" s="19">
        <v>45776</v>
      </c>
      <c r="C378" s="128" t="s">
        <v>5</v>
      </c>
      <c r="D378" s="103" t="s">
        <v>45</v>
      </c>
      <c r="E378" s="128" t="s">
        <v>6</v>
      </c>
      <c r="F378" s="128" t="s">
        <v>7</v>
      </c>
      <c r="G378" s="44">
        <f>27*6</f>
        <v>162</v>
      </c>
      <c r="H378" s="128">
        <f>6+1</f>
        <v>7</v>
      </c>
      <c r="I378" s="128">
        <v>1</v>
      </c>
      <c r="J378" s="148" t="s">
        <v>443</v>
      </c>
      <c r="K378" s="149"/>
      <c r="L378" s="150"/>
      <c r="M378" s="68"/>
      <c r="O378" s="138"/>
      <c r="P378" s="135"/>
    </row>
    <row r="379" spans="1:16" ht="13.5" customHeight="1" x14ac:dyDescent="0.25">
      <c r="A379" s="42">
        <v>300</v>
      </c>
      <c r="B379" s="48">
        <v>45776</v>
      </c>
      <c r="C379" s="129" t="s">
        <v>5</v>
      </c>
      <c r="D379" s="106" t="s">
        <v>46</v>
      </c>
      <c r="E379" s="129" t="s">
        <v>6</v>
      </c>
      <c r="F379" s="129" t="s">
        <v>7</v>
      </c>
      <c r="G379" s="43">
        <f>44.5*6</f>
        <v>267</v>
      </c>
      <c r="H379" s="129">
        <f>10+2</f>
        <v>12</v>
      </c>
      <c r="I379" s="129">
        <v>2</v>
      </c>
      <c r="J379" s="148"/>
      <c r="K379" s="149"/>
      <c r="L379" s="150"/>
      <c r="M379" s="69"/>
      <c r="O379" s="138"/>
      <c r="P379" s="135"/>
    </row>
    <row r="380" spans="1:16" ht="13.5" customHeight="1" x14ac:dyDescent="0.25">
      <c r="A380" s="42">
        <v>301</v>
      </c>
      <c r="B380" s="48">
        <v>45776</v>
      </c>
      <c r="C380" s="129" t="s">
        <v>5</v>
      </c>
      <c r="D380" s="106" t="s">
        <v>47</v>
      </c>
      <c r="E380" s="129" t="s">
        <v>6</v>
      </c>
      <c r="F380" s="129" t="s">
        <v>7</v>
      </c>
      <c r="G380" s="43">
        <f>56*6</f>
        <v>336</v>
      </c>
      <c r="H380" s="129">
        <f>18+2</f>
        <v>20</v>
      </c>
      <c r="I380" s="129">
        <v>2</v>
      </c>
      <c r="J380" s="148"/>
      <c r="K380" s="149"/>
      <c r="L380" s="150"/>
      <c r="M380" s="69"/>
      <c r="O380" s="138"/>
      <c r="P380" s="135"/>
    </row>
    <row r="381" spans="1:16" ht="13.5" customHeight="1" x14ac:dyDescent="0.25">
      <c r="A381" s="42">
        <v>302</v>
      </c>
      <c r="B381" s="48">
        <v>45776</v>
      </c>
      <c r="C381" s="129" t="s">
        <v>5</v>
      </c>
      <c r="D381" s="106" t="s">
        <v>48</v>
      </c>
      <c r="E381" s="129" t="s">
        <v>6</v>
      </c>
      <c r="F381" s="129" t="s">
        <v>7</v>
      </c>
      <c r="G381" s="129">
        <f>95*2.7</f>
        <v>256.5</v>
      </c>
      <c r="H381" s="129">
        <f>10+2</f>
        <v>12</v>
      </c>
      <c r="I381" s="129">
        <v>2</v>
      </c>
      <c r="J381" s="148"/>
      <c r="K381" s="149"/>
      <c r="L381" s="150"/>
      <c r="M381" s="69"/>
      <c r="O381" s="138"/>
      <c r="P381" s="135"/>
    </row>
    <row r="382" spans="1:16" ht="13.5" customHeight="1" x14ac:dyDescent="0.25">
      <c r="A382" s="42">
        <v>303</v>
      </c>
      <c r="B382" s="48">
        <v>45776</v>
      </c>
      <c r="C382" s="129" t="s">
        <v>5</v>
      </c>
      <c r="D382" s="106" t="s">
        <v>49</v>
      </c>
      <c r="E382" s="129" t="s">
        <v>6</v>
      </c>
      <c r="F382" s="129" t="s">
        <v>7</v>
      </c>
      <c r="G382" s="129">
        <f>(19*1.8)+(22*2)</f>
        <v>78.2</v>
      </c>
      <c r="H382" s="129">
        <f>3+1</f>
        <v>4</v>
      </c>
      <c r="I382" s="129">
        <v>1</v>
      </c>
      <c r="J382" s="148"/>
      <c r="K382" s="149"/>
      <c r="L382" s="150"/>
      <c r="M382" s="69"/>
      <c r="O382" s="138"/>
      <c r="P382" s="135"/>
    </row>
    <row r="383" spans="1:16" ht="13.5" customHeight="1" x14ac:dyDescent="0.25">
      <c r="A383" s="42">
        <v>304</v>
      </c>
      <c r="B383" s="48">
        <v>45776</v>
      </c>
      <c r="C383" s="129" t="s">
        <v>5</v>
      </c>
      <c r="D383" s="106" t="s">
        <v>50</v>
      </c>
      <c r="E383" s="129" t="s">
        <v>6</v>
      </c>
      <c r="F383" s="129" t="s">
        <v>7</v>
      </c>
      <c r="G383" s="43">
        <f>(27*2)+(17*2)</f>
        <v>88</v>
      </c>
      <c r="H383" s="129">
        <f>2+1+1+1</f>
        <v>5</v>
      </c>
      <c r="I383" s="129">
        <f>1+1</f>
        <v>2</v>
      </c>
      <c r="J383" s="148"/>
      <c r="K383" s="149"/>
      <c r="L383" s="150"/>
      <c r="M383" s="69"/>
      <c r="O383" s="138"/>
      <c r="P383" s="135"/>
    </row>
    <row r="384" spans="1:16" ht="13.5" customHeight="1" x14ac:dyDescent="0.25">
      <c r="A384" s="42">
        <v>305</v>
      </c>
      <c r="B384" s="48">
        <v>45776</v>
      </c>
      <c r="C384" s="49" t="s">
        <v>5</v>
      </c>
      <c r="D384" s="106" t="s">
        <v>51</v>
      </c>
      <c r="E384" s="49" t="s">
        <v>6</v>
      </c>
      <c r="F384" s="49" t="s">
        <v>7</v>
      </c>
      <c r="G384" s="55">
        <f>21*2</f>
        <v>42</v>
      </c>
      <c r="H384" s="49">
        <v>2</v>
      </c>
      <c r="I384" s="49">
        <v>0</v>
      </c>
      <c r="J384" s="148"/>
      <c r="K384" s="149"/>
      <c r="L384" s="150"/>
      <c r="M384" s="75"/>
      <c r="O384" s="138"/>
      <c r="P384" s="135"/>
    </row>
    <row r="385" spans="1:16" ht="13.5" customHeight="1" x14ac:dyDescent="0.25">
      <c r="A385" s="42">
        <v>306</v>
      </c>
      <c r="B385" s="48">
        <v>45776</v>
      </c>
      <c r="C385" s="49" t="s">
        <v>5</v>
      </c>
      <c r="D385" s="106" t="s">
        <v>52</v>
      </c>
      <c r="E385" s="49" t="s">
        <v>6</v>
      </c>
      <c r="F385" s="49" t="s">
        <v>7</v>
      </c>
      <c r="G385" s="55">
        <f>22.5*2</f>
        <v>45</v>
      </c>
      <c r="H385" s="49">
        <f>2+1</f>
        <v>3</v>
      </c>
      <c r="I385" s="49">
        <v>1</v>
      </c>
      <c r="J385" s="148"/>
      <c r="K385" s="149"/>
      <c r="L385" s="150"/>
      <c r="M385" s="75"/>
      <c r="O385" s="138"/>
      <c r="P385" s="135"/>
    </row>
    <row r="386" spans="1:16" ht="13.5" customHeight="1" x14ac:dyDescent="0.25">
      <c r="A386" s="42">
        <v>307</v>
      </c>
      <c r="B386" s="48">
        <v>45776</v>
      </c>
      <c r="C386" s="49" t="s">
        <v>5</v>
      </c>
      <c r="D386" s="106" t="s">
        <v>53</v>
      </c>
      <c r="E386" s="49" t="s">
        <v>6</v>
      </c>
      <c r="F386" s="49" t="s">
        <v>7</v>
      </c>
      <c r="G386" s="55">
        <f>(24*2.3)+(13*2.1)</f>
        <v>82.5</v>
      </c>
      <c r="H386" s="49">
        <v>4</v>
      </c>
      <c r="I386" s="49">
        <v>0</v>
      </c>
      <c r="J386" s="148"/>
      <c r="K386" s="149"/>
      <c r="L386" s="150"/>
      <c r="M386" s="75"/>
      <c r="O386" s="138"/>
      <c r="P386" s="135"/>
    </row>
    <row r="387" spans="1:16" ht="13.5" customHeight="1" x14ac:dyDescent="0.25">
      <c r="A387" s="42">
        <v>308</v>
      </c>
      <c r="B387" s="48">
        <v>45776</v>
      </c>
      <c r="C387" s="49" t="s">
        <v>5</v>
      </c>
      <c r="D387" s="106" t="s">
        <v>54</v>
      </c>
      <c r="E387" s="49" t="s">
        <v>6</v>
      </c>
      <c r="F387" s="49" t="s">
        <v>7</v>
      </c>
      <c r="G387" s="49">
        <f>29*2.5</f>
        <v>72.5</v>
      </c>
      <c r="H387" s="49">
        <f>3+1</f>
        <v>4</v>
      </c>
      <c r="I387" s="49">
        <v>1</v>
      </c>
      <c r="J387" s="148"/>
      <c r="K387" s="149"/>
      <c r="L387" s="150"/>
      <c r="M387" s="75"/>
      <c r="O387" s="138"/>
      <c r="P387" s="135"/>
    </row>
    <row r="388" spans="1:16" ht="13.5" customHeight="1" x14ac:dyDescent="0.25">
      <c r="A388" s="42">
        <v>309</v>
      </c>
      <c r="B388" s="48">
        <v>45776</v>
      </c>
      <c r="C388" s="49" t="s">
        <v>5</v>
      </c>
      <c r="D388" s="106" t="s">
        <v>55</v>
      </c>
      <c r="E388" s="49" t="s">
        <v>6</v>
      </c>
      <c r="F388" s="49" t="s">
        <v>7</v>
      </c>
      <c r="G388" s="55">
        <f>20*2</f>
        <v>40</v>
      </c>
      <c r="H388" s="49">
        <f>2+1</f>
        <v>3</v>
      </c>
      <c r="I388" s="49">
        <v>1</v>
      </c>
      <c r="J388" s="148"/>
      <c r="K388" s="149"/>
      <c r="L388" s="150"/>
      <c r="M388" s="75"/>
      <c r="O388" s="138"/>
      <c r="P388" s="135"/>
    </row>
    <row r="389" spans="1:16" ht="13.5" customHeight="1" x14ac:dyDescent="0.25">
      <c r="A389" s="42">
        <v>310</v>
      </c>
      <c r="B389" s="48">
        <v>45776</v>
      </c>
      <c r="C389" s="129" t="s">
        <v>5</v>
      </c>
      <c r="D389" s="106" t="s">
        <v>56</v>
      </c>
      <c r="E389" s="129" t="s">
        <v>6</v>
      </c>
      <c r="F389" s="129" t="s">
        <v>7</v>
      </c>
      <c r="G389" s="43">
        <f>18*5</f>
        <v>90</v>
      </c>
      <c r="H389" s="129">
        <f>3+1</f>
        <v>4</v>
      </c>
      <c r="I389" s="129">
        <v>1</v>
      </c>
      <c r="J389" s="148"/>
      <c r="K389" s="149"/>
      <c r="L389" s="150"/>
      <c r="M389" s="69"/>
      <c r="O389" s="138"/>
      <c r="P389" s="135"/>
    </row>
    <row r="390" spans="1:16" ht="13.5" customHeight="1" thickBot="1" x14ac:dyDescent="0.3">
      <c r="A390" s="42">
        <v>311</v>
      </c>
      <c r="B390" s="48">
        <v>45776</v>
      </c>
      <c r="C390" s="129" t="s">
        <v>5</v>
      </c>
      <c r="D390" s="106" t="s">
        <v>57</v>
      </c>
      <c r="E390" s="129" t="s">
        <v>6</v>
      </c>
      <c r="F390" s="129" t="s">
        <v>7</v>
      </c>
      <c r="G390" s="43">
        <f>36*6</f>
        <v>216</v>
      </c>
      <c r="H390" s="129">
        <f>10+1</f>
        <v>11</v>
      </c>
      <c r="I390" s="129">
        <v>1</v>
      </c>
      <c r="J390" s="148"/>
      <c r="K390" s="149"/>
      <c r="L390" s="150"/>
      <c r="M390" s="93"/>
      <c r="O390" s="138"/>
      <c r="P390" s="135"/>
    </row>
    <row r="391" spans="1:16" ht="13.5" customHeight="1" thickBot="1" x14ac:dyDescent="0.3">
      <c r="A391" s="151" t="s">
        <v>317</v>
      </c>
      <c r="B391" s="152"/>
      <c r="C391" s="152"/>
      <c r="D391" s="152"/>
      <c r="E391" s="152"/>
      <c r="F391" s="36"/>
      <c r="G391" s="36"/>
      <c r="H391" s="36"/>
      <c r="I391" s="36"/>
      <c r="J391" s="36"/>
      <c r="K391" s="36"/>
      <c r="L391" s="36"/>
      <c r="M391" s="37"/>
      <c r="O391" s="138"/>
      <c r="P391" s="135"/>
    </row>
    <row r="392" spans="1:16" ht="13.5" customHeight="1" x14ac:dyDescent="0.25">
      <c r="A392" s="18">
        <v>312</v>
      </c>
      <c r="B392" s="19">
        <v>45777</v>
      </c>
      <c r="C392" s="128" t="s">
        <v>5</v>
      </c>
      <c r="D392" s="46" t="s">
        <v>469</v>
      </c>
      <c r="E392" s="128" t="s">
        <v>6</v>
      </c>
      <c r="F392" s="128" t="s">
        <v>7</v>
      </c>
      <c r="G392" s="44">
        <f>(20*3.8)</f>
        <v>76</v>
      </c>
      <c r="H392" s="128">
        <f>2+1</f>
        <v>3</v>
      </c>
      <c r="I392" s="128">
        <v>1</v>
      </c>
      <c r="J392" s="148" t="s">
        <v>443</v>
      </c>
      <c r="K392" s="149"/>
      <c r="L392" s="150"/>
      <c r="M392" s="68"/>
      <c r="O392" s="138"/>
      <c r="P392" s="135"/>
    </row>
    <row r="393" spans="1:16" ht="13.5" customHeight="1" x14ac:dyDescent="0.25">
      <c r="A393" s="42">
        <v>313</v>
      </c>
      <c r="B393" s="48">
        <v>45777</v>
      </c>
      <c r="C393" s="129" t="s">
        <v>5</v>
      </c>
      <c r="D393" s="107" t="s">
        <v>318</v>
      </c>
      <c r="E393" s="129" t="s">
        <v>6</v>
      </c>
      <c r="F393" s="129" t="s">
        <v>7</v>
      </c>
      <c r="G393" s="129">
        <f>(4*5*3.7)+(1*5*3.7)</f>
        <v>92.5</v>
      </c>
      <c r="H393" s="129">
        <f>4+1</f>
        <v>5</v>
      </c>
      <c r="I393" s="129">
        <v>1</v>
      </c>
      <c r="J393" s="148"/>
      <c r="K393" s="149"/>
      <c r="L393" s="150"/>
      <c r="M393" s="69"/>
      <c r="O393" s="138"/>
      <c r="P393" s="135"/>
    </row>
    <row r="394" spans="1:16" ht="13.5" customHeight="1" x14ac:dyDescent="0.25">
      <c r="A394" s="42">
        <v>314</v>
      </c>
      <c r="B394" s="48">
        <v>45777</v>
      </c>
      <c r="C394" s="129" t="s">
        <v>5</v>
      </c>
      <c r="D394" s="107" t="s">
        <v>319</v>
      </c>
      <c r="E394" s="129" t="s">
        <v>6</v>
      </c>
      <c r="F394" s="129" t="s">
        <v>7</v>
      </c>
      <c r="G394" s="129">
        <f>(18*3.8)</f>
        <v>68.399999999999991</v>
      </c>
      <c r="H394" s="129">
        <f>3+1</f>
        <v>4</v>
      </c>
      <c r="I394" s="129">
        <v>1</v>
      </c>
      <c r="J394" s="148"/>
      <c r="K394" s="149"/>
      <c r="L394" s="150"/>
      <c r="M394" s="69"/>
      <c r="O394" s="138"/>
      <c r="P394" s="135"/>
    </row>
    <row r="395" spans="1:16" ht="13.5" customHeight="1" x14ac:dyDescent="0.25">
      <c r="A395" s="42">
        <v>315</v>
      </c>
      <c r="B395" s="48">
        <v>45777</v>
      </c>
      <c r="C395" s="129" t="s">
        <v>5</v>
      </c>
      <c r="D395" s="107" t="s">
        <v>320</v>
      </c>
      <c r="E395" s="129" t="s">
        <v>6</v>
      </c>
      <c r="F395" s="129" t="s">
        <v>7</v>
      </c>
      <c r="G395" s="129">
        <f>(42.5*2.9)</f>
        <v>123.25</v>
      </c>
      <c r="H395" s="129">
        <f>5+1</f>
        <v>6</v>
      </c>
      <c r="I395" s="129">
        <v>1</v>
      </c>
      <c r="J395" s="148"/>
      <c r="K395" s="149"/>
      <c r="L395" s="150"/>
      <c r="M395" s="69"/>
      <c r="O395" s="138"/>
      <c r="P395" s="135"/>
    </row>
    <row r="396" spans="1:16" ht="13.5" customHeight="1" x14ac:dyDescent="0.25">
      <c r="A396" s="42">
        <v>316</v>
      </c>
      <c r="B396" s="48">
        <v>45777</v>
      </c>
      <c r="C396" s="129" t="s">
        <v>5</v>
      </c>
      <c r="D396" s="107" t="s">
        <v>8</v>
      </c>
      <c r="E396" s="129" t="s">
        <v>6</v>
      </c>
      <c r="F396" s="129" t="s">
        <v>7</v>
      </c>
      <c r="G396" s="43">
        <f>(17.5*6)</f>
        <v>105</v>
      </c>
      <c r="H396" s="129">
        <f>5+1</f>
        <v>6</v>
      </c>
      <c r="I396" s="129">
        <v>1</v>
      </c>
      <c r="J396" s="148"/>
      <c r="K396" s="149"/>
      <c r="L396" s="150"/>
      <c r="M396" s="69"/>
      <c r="O396" s="138"/>
      <c r="P396" s="135"/>
    </row>
    <row r="397" spans="1:16" ht="13.5" customHeight="1" x14ac:dyDescent="0.25">
      <c r="A397" s="42">
        <v>317</v>
      </c>
      <c r="B397" s="48">
        <v>45777</v>
      </c>
      <c r="C397" s="129" t="s">
        <v>5</v>
      </c>
      <c r="D397" s="107" t="s">
        <v>321</v>
      </c>
      <c r="E397" s="129" t="s">
        <v>6</v>
      </c>
      <c r="F397" s="129" t="s">
        <v>7</v>
      </c>
      <c r="G397" s="129">
        <f>(33.5*2.8)</f>
        <v>93.8</v>
      </c>
      <c r="H397" s="129">
        <f>3+1</f>
        <v>4</v>
      </c>
      <c r="I397" s="129">
        <v>1</v>
      </c>
      <c r="J397" s="148"/>
      <c r="K397" s="149"/>
      <c r="L397" s="150"/>
      <c r="M397" s="69"/>
      <c r="O397" s="138"/>
      <c r="P397" s="135"/>
    </row>
    <row r="398" spans="1:16" ht="13.5" customHeight="1" thickBot="1" x14ac:dyDescent="0.3">
      <c r="A398" s="85">
        <v>318</v>
      </c>
      <c r="B398" s="48">
        <v>45777</v>
      </c>
      <c r="C398" s="49" t="s">
        <v>5</v>
      </c>
      <c r="D398" s="107" t="s">
        <v>322</v>
      </c>
      <c r="E398" s="49" t="s">
        <v>6</v>
      </c>
      <c r="F398" s="49" t="s">
        <v>7</v>
      </c>
      <c r="G398" s="55">
        <f>20*7</f>
        <v>140</v>
      </c>
      <c r="H398" s="49">
        <f>5+1</f>
        <v>6</v>
      </c>
      <c r="I398" s="49">
        <v>1</v>
      </c>
      <c r="J398" s="148"/>
      <c r="K398" s="149"/>
      <c r="L398" s="150"/>
      <c r="M398" s="75"/>
      <c r="O398" s="138"/>
      <c r="P398" s="135"/>
    </row>
    <row r="399" spans="1:16" ht="13.5" customHeight="1" thickBot="1" x14ac:dyDescent="0.3">
      <c r="A399" s="151" t="s">
        <v>323</v>
      </c>
      <c r="B399" s="152"/>
      <c r="C399" s="152"/>
      <c r="D399" s="152"/>
      <c r="E399" s="152"/>
      <c r="F399" s="152"/>
      <c r="G399" s="12"/>
      <c r="H399" s="12"/>
      <c r="I399" s="12"/>
      <c r="J399" s="12"/>
      <c r="K399" s="12"/>
      <c r="L399" s="12"/>
      <c r="M399" s="13"/>
      <c r="O399" s="138"/>
      <c r="P399" s="135"/>
    </row>
    <row r="400" spans="1:16" ht="21.75" customHeight="1" thickBot="1" x14ac:dyDescent="0.3">
      <c r="A400" s="61">
        <v>319</v>
      </c>
      <c r="B400" s="79">
        <v>45777</v>
      </c>
      <c r="C400" s="38" t="s">
        <v>5</v>
      </c>
      <c r="D400" s="92" t="s">
        <v>324</v>
      </c>
      <c r="E400" s="38" t="s">
        <v>6</v>
      </c>
      <c r="F400" s="38" t="s">
        <v>7</v>
      </c>
      <c r="G400" s="38">
        <f>(27*13)</f>
        <v>351</v>
      </c>
      <c r="H400" s="38">
        <f>8+1</f>
        <v>9</v>
      </c>
      <c r="I400" s="38">
        <v>1</v>
      </c>
      <c r="J400" s="162" t="s">
        <v>443</v>
      </c>
      <c r="K400" s="163"/>
      <c r="L400" s="164"/>
      <c r="M400" s="80"/>
      <c r="O400" s="138"/>
      <c r="P400" s="135"/>
    </row>
    <row r="401" spans="1:16" ht="13.5" customHeight="1" thickBot="1" x14ac:dyDescent="0.3">
      <c r="A401" s="151" t="s">
        <v>325</v>
      </c>
      <c r="B401" s="152"/>
      <c r="C401" s="152"/>
      <c r="D401" s="152"/>
      <c r="E401" s="152"/>
      <c r="F401" s="36"/>
      <c r="G401" s="36"/>
      <c r="H401" s="36"/>
      <c r="I401" s="36"/>
      <c r="J401" s="36"/>
      <c r="K401" s="36"/>
      <c r="L401" s="36"/>
      <c r="M401" s="37"/>
      <c r="O401" s="138"/>
      <c r="P401" s="135"/>
    </row>
    <row r="402" spans="1:16" ht="13.5" customHeight="1" x14ac:dyDescent="0.25">
      <c r="A402" s="18">
        <v>320</v>
      </c>
      <c r="B402" s="19">
        <v>45782</v>
      </c>
      <c r="C402" s="128" t="s">
        <v>5</v>
      </c>
      <c r="D402" s="46" t="s">
        <v>326</v>
      </c>
      <c r="E402" s="128" t="s">
        <v>6</v>
      </c>
      <c r="F402" s="128" t="s">
        <v>7</v>
      </c>
      <c r="G402" s="44">
        <f>(24*5)</f>
        <v>120</v>
      </c>
      <c r="H402" s="128">
        <f>7+1</f>
        <v>8</v>
      </c>
      <c r="I402" s="128">
        <v>1</v>
      </c>
      <c r="J402" s="148" t="s">
        <v>443</v>
      </c>
      <c r="K402" s="149"/>
      <c r="L402" s="150"/>
      <c r="M402" s="68"/>
      <c r="O402" s="138"/>
      <c r="P402" s="135"/>
    </row>
    <row r="403" spans="1:16" ht="13.5" customHeight="1" x14ac:dyDescent="0.25">
      <c r="A403" s="42">
        <v>321</v>
      </c>
      <c r="B403" s="48">
        <v>45782</v>
      </c>
      <c r="C403" s="129" t="s">
        <v>5</v>
      </c>
      <c r="D403" s="107" t="s">
        <v>327</v>
      </c>
      <c r="E403" s="129" t="s">
        <v>6</v>
      </c>
      <c r="F403" s="129" t="s">
        <v>7</v>
      </c>
      <c r="G403" s="51">
        <f>(23.333*3)</f>
        <v>69.998999999999995</v>
      </c>
      <c r="H403" s="129">
        <f>2+1</f>
        <v>3</v>
      </c>
      <c r="I403" s="129">
        <v>1</v>
      </c>
      <c r="J403" s="148"/>
      <c r="K403" s="149"/>
      <c r="L403" s="150"/>
      <c r="M403" s="69"/>
      <c r="O403" s="138"/>
      <c r="P403" s="135"/>
    </row>
    <row r="404" spans="1:16" ht="13.5" customHeight="1" x14ac:dyDescent="0.25">
      <c r="A404" s="42">
        <v>322</v>
      </c>
      <c r="B404" s="48">
        <v>45782</v>
      </c>
      <c r="C404" s="129" t="s">
        <v>5</v>
      </c>
      <c r="D404" s="107" t="s">
        <v>328</v>
      </c>
      <c r="E404" s="129" t="s">
        <v>6</v>
      </c>
      <c r="F404" s="129" t="s">
        <v>7</v>
      </c>
      <c r="G404" s="129">
        <f>(18.3*7.5)</f>
        <v>137.25</v>
      </c>
      <c r="H404" s="129">
        <f>4+1</f>
        <v>5</v>
      </c>
      <c r="I404" s="129">
        <v>1</v>
      </c>
      <c r="J404" s="148"/>
      <c r="K404" s="149"/>
      <c r="L404" s="150"/>
      <c r="M404" s="69"/>
      <c r="O404" s="138"/>
      <c r="P404" s="135"/>
    </row>
    <row r="405" spans="1:16" ht="13.5" customHeight="1" x14ac:dyDescent="0.25">
      <c r="A405" s="42">
        <v>323</v>
      </c>
      <c r="B405" s="48">
        <v>45782</v>
      </c>
      <c r="C405" s="129" t="s">
        <v>5</v>
      </c>
      <c r="D405" s="107" t="s">
        <v>329</v>
      </c>
      <c r="E405" s="129" t="s">
        <v>6</v>
      </c>
      <c r="F405" s="129" t="s">
        <v>7</v>
      </c>
      <c r="G405" s="129">
        <f>(31.16*5)</f>
        <v>155.80000000000001</v>
      </c>
      <c r="H405" s="129">
        <f>8+1</f>
        <v>9</v>
      </c>
      <c r="I405" s="129">
        <v>1</v>
      </c>
      <c r="J405" s="148"/>
      <c r="K405" s="149"/>
      <c r="L405" s="150"/>
      <c r="M405" s="69"/>
      <c r="O405" s="138"/>
      <c r="P405" s="135"/>
    </row>
    <row r="406" spans="1:16" ht="13.5" customHeight="1" x14ac:dyDescent="0.25">
      <c r="A406" s="42">
        <v>324</v>
      </c>
      <c r="B406" s="48">
        <v>45782</v>
      </c>
      <c r="C406" s="129" t="s">
        <v>5</v>
      </c>
      <c r="D406" s="107" t="s">
        <v>330</v>
      </c>
      <c r="E406" s="129" t="s">
        <v>6</v>
      </c>
      <c r="F406" s="129" t="s">
        <v>7</v>
      </c>
      <c r="G406" s="129">
        <f>(63*6.8)</f>
        <v>428.4</v>
      </c>
      <c r="H406" s="129">
        <f>18+3</f>
        <v>21</v>
      </c>
      <c r="I406" s="129">
        <v>3</v>
      </c>
      <c r="J406" s="148"/>
      <c r="K406" s="149"/>
      <c r="L406" s="150"/>
      <c r="M406" s="69"/>
      <c r="O406" s="138"/>
      <c r="P406" s="135"/>
    </row>
    <row r="407" spans="1:16" ht="13.5" customHeight="1" x14ac:dyDescent="0.25">
      <c r="A407" s="42">
        <v>325</v>
      </c>
      <c r="B407" s="48">
        <v>45782</v>
      </c>
      <c r="C407" s="129" t="s">
        <v>5</v>
      </c>
      <c r="D407" s="107" t="s">
        <v>331</v>
      </c>
      <c r="E407" s="129" t="s">
        <v>6</v>
      </c>
      <c r="F407" s="129" t="s">
        <v>7</v>
      </c>
      <c r="G407" s="129">
        <f>(32.5*1.9)</f>
        <v>61.75</v>
      </c>
      <c r="H407" s="129">
        <f>3+1</f>
        <v>4</v>
      </c>
      <c r="I407" s="129">
        <v>1</v>
      </c>
      <c r="J407" s="148"/>
      <c r="K407" s="149"/>
      <c r="L407" s="150"/>
      <c r="M407" s="69"/>
      <c r="O407" s="138"/>
      <c r="P407" s="135"/>
    </row>
    <row r="408" spans="1:16" ht="13.5" customHeight="1" x14ac:dyDescent="0.25">
      <c r="A408" s="42">
        <v>326</v>
      </c>
      <c r="B408" s="48">
        <v>45782</v>
      </c>
      <c r="C408" s="49" t="s">
        <v>5</v>
      </c>
      <c r="D408" s="107" t="s">
        <v>332</v>
      </c>
      <c r="E408" s="49" t="s">
        <v>6</v>
      </c>
      <c r="F408" s="49" t="s">
        <v>7</v>
      </c>
      <c r="G408" s="49">
        <f>(23.7*5.2)</f>
        <v>123.24</v>
      </c>
      <c r="H408" s="49">
        <f>8+1</f>
        <v>9</v>
      </c>
      <c r="I408" s="49">
        <v>1</v>
      </c>
      <c r="J408" s="148"/>
      <c r="K408" s="149"/>
      <c r="L408" s="150"/>
      <c r="M408" s="75"/>
      <c r="O408" s="138"/>
      <c r="P408" s="135"/>
    </row>
    <row r="409" spans="1:16" ht="13.5" customHeight="1" x14ac:dyDescent="0.25">
      <c r="A409" s="42">
        <v>327</v>
      </c>
      <c r="B409" s="48">
        <v>45782</v>
      </c>
      <c r="C409" s="49" t="s">
        <v>5</v>
      </c>
      <c r="D409" s="107" t="s">
        <v>332</v>
      </c>
      <c r="E409" s="49" t="s">
        <v>6</v>
      </c>
      <c r="F409" s="49" t="s">
        <v>7</v>
      </c>
      <c r="G409" s="49">
        <f>((17+12)/2)*7.6</f>
        <v>110.19999999999999</v>
      </c>
      <c r="H409" s="49">
        <f>4+1</f>
        <v>5</v>
      </c>
      <c r="I409" s="49">
        <v>1</v>
      </c>
      <c r="J409" s="148"/>
      <c r="K409" s="149"/>
      <c r="L409" s="150"/>
      <c r="M409" s="75"/>
      <c r="O409" s="138"/>
      <c r="P409" s="135"/>
    </row>
    <row r="410" spans="1:16" ht="13.5" customHeight="1" x14ac:dyDescent="0.25">
      <c r="A410" s="42">
        <v>328</v>
      </c>
      <c r="B410" s="48">
        <v>46128</v>
      </c>
      <c r="C410" s="49" t="s">
        <v>5</v>
      </c>
      <c r="D410" s="107" t="s">
        <v>490</v>
      </c>
      <c r="E410" s="49" t="s">
        <v>6</v>
      </c>
      <c r="F410" s="49" t="s">
        <v>7</v>
      </c>
      <c r="G410" s="49">
        <v>65.44</v>
      </c>
      <c r="H410" s="49">
        <v>3</v>
      </c>
      <c r="I410" s="49">
        <v>1</v>
      </c>
      <c r="J410" s="148"/>
      <c r="K410" s="149"/>
      <c r="L410" s="150"/>
      <c r="M410" s="75"/>
      <c r="O410" s="138"/>
      <c r="P410" s="135"/>
    </row>
    <row r="411" spans="1:16" ht="13.5" customHeight="1" x14ac:dyDescent="0.25">
      <c r="A411" s="42">
        <v>329</v>
      </c>
      <c r="B411" s="48">
        <v>45782</v>
      </c>
      <c r="C411" s="49" t="s">
        <v>5</v>
      </c>
      <c r="D411" s="107" t="s">
        <v>334</v>
      </c>
      <c r="E411" s="49" t="s">
        <v>6</v>
      </c>
      <c r="F411" s="49" t="s">
        <v>7</v>
      </c>
      <c r="G411" s="49">
        <f>(45*3.6)+(11*6.3)</f>
        <v>231.3</v>
      </c>
      <c r="H411" s="49">
        <f>6+1</f>
        <v>7</v>
      </c>
      <c r="I411" s="49">
        <v>1</v>
      </c>
      <c r="J411" s="148"/>
      <c r="K411" s="149"/>
      <c r="L411" s="150"/>
      <c r="M411" s="75"/>
      <c r="O411" s="138"/>
      <c r="P411" s="135"/>
    </row>
    <row r="412" spans="1:16" ht="13.5" customHeight="1" x14ac:dyDescent="0.25">
      <c r="A412" s="42">
        <v>330</v>
      </c>
      <c r="B412" s="48">
        <v>45782</v>
      </c>
      <c r="C412" s="49" t="s">
        <v>5</v>
      </c>
      <c r="D412" s="107" t="s">
        <v>335</v>
      </c>
      <c r="E412" s="49" t="s">
        <v>6</v>
      </c>
      <c r="F412" s="49" t="s">
        <v>7</v>
      </c>
      <c r="G412" s="55">
        <f>(74*7.5)</f>
        <v>555</v>
      </c>
      <c r="H412" s="49">
        <f>21+3</f>
        <v>24</v>
      </c>
      <c r="I412" s="49">
        <v>3</v>
      </c>
      <c r="J412" s="148"/>
      <c r="K412" s="149"/>
      <c r="L412" s="150"/>
      <c r="M412" s="75"/>
      <c r="O412" s="138"/>
      <c r="P412" s="135"/>
    </row>
    <row r="413" spans="1:16" ht="13.5" customHeight="1" x14ac:dyDescent="0.25">
      <c r="A413" s="42">
        <v>331</v>
      </c>
      <c r="B413" s="48">
        <v>45782</v>
      </c>
      <c r="C413" s="49" t="s">
        <v>5</v>
      </c>
      <c r="D413" s="107" t="s">
        <v>333</v>
      </c>
      <c r="E413" s="49" t="s">
        <v>6</v>
      </c>
      <c r="F413" s="49" t="s">
        <v>7</v>
      </c>
      <c r="G413" s="49">
        <f>14*5.3</f>
        <v>74.2</v>
      </c>
      <c r="H413" s="49">
        <f>2+1</f>
        <v>3</v>
      </c>
      <c r="I413" s="49">
        <v>1</v>
      </c>
      <c r="J413" s="148"/>
      <c r="K413" s="149"/>
      <c r="L413" s="150"/>
      <c r="M413" s="75"/>
      <c r="O413" s="138"/>
      <c r="P413" s="135"/>
    </row>
    <row r="414" spans="1:16" ht="13.5" customHeight="1" x14ac:dyDescent="0.25">
      <c r="A414" s="42">
        <v>332</v>
      </c>
      <c r="B414" s="48">
        <v>45782</v>
      </c>
      <c r="C414" s="49" t="s">
        <v>5</v>
      </c>
      <c r="D414" s="107" t="s">
        <v>336</v>
      </c>
      <c r="E414" s="49" t="s">
        <v>6</v>
      </c>
      <c r="F414" s="49" t="s">
        <v>7</v>
      </c>
      <c r="G414" s="49">
        <f>(9*2.52*(5+7.5))+(1*4*(6+6.5))</f>
        <v>333.5</v>
      </c>
      <c r="H414" s="49">
        <f>9+1</f>
        <v>10</v>
      </c>
      <c r="I414" s="49">
        <v>1</v>
      </c>
      <c r="J414" s="148"/>
      <c r="K414" s="149"/>
      <c r="L414" s="150"/>
      <c r="M414" s="75"/>
      <c r="O414" s="138"/>
      <c r="P414" s="135"/>
    </row>
    <row r="415" spans="1:16" ht="13.5" customHeight="1" x14ac:dyDescent="0.25">
      <c r="A415" s="42">
        <v>333</v>
      </c>
      <c r="B415" s="48">
        <v>45782</v>
      </c>
      <c r="C415" s="49" t="s">
        <v>5</v>
      </c>
      <c r="D415" s="107" t="s">
        <v>337</v>
      </c>
      <c r="E415" s="49" t="s">
        <v>6</v>
      </c>
      <c r="F415" s="49" t="s">
        <v>7</v>
      </c>
      <c r="G415" s="55">
        <f>(32.5*2.8)</f>
        <v>91</v>
      </c>
      <c r="H415" s="49">
        <f>3+1</f>
        <v>4</v>
      </c>
      <c r="I415" s="49">
        <v>1</v>
      </c>
      <c r="J415" s="148"/>
      <c r="K415" s="149"/>
      <c r="L415" s="150"/>
      <c r="M415" s="75"/>
      <c r="O415" s="138"/>
      <c r="P415" s="135"/>
    </row>
    <row r="416" spans="1:16" ht="13.5" customHeight="1" x14ac:dyDescent="0.25">
      <c r="A416" s="42">
        <v>334</v>
      </c>
      <c r="B416" s="48">
        <v>45782</v>
      </c>
      <c r="C416" s="49" t="s">
        <v>5</v>
      </c>
      <c r="D416" s="107" t="s">
        <v>489</v>
      </c>
      <c r="E416" s="49" t="s">
        <v>6</v>
      </c>
      <c r="F416" s="49" t="s">
        <v>7</v>
      </c>
      <c r="G416" s="49">
        <f xml:space="preserve"> (19*2.5*5)+(3*3.6*5)</f>
        <v>291.5</v>
      </c>
      <c r="H416" s="49">
        <f>19+3</f>
        <v>22</v>
      </c>
      <c r="I416" s="49">
        <v>3</v>
      </c>
      <c r="J416" s="148"/>
      <c r="K416" s="149"/>
      <c r="L416" s="150"/>
      <c r="M416" s="75"/>
      <c r="O416" s="138"/>
      <c r="P416" s="135"/>
    </row>
    <row r="417" spans="1:16" ht="13.5" customHeight="1" thickBot="1" x14ac:dyDescent="0.3">
      <c r="A417" s="42">
        <v>335</v>
      </c>
      <c r="B417" s="48">
        <v>45782</v>
      </c>
      <c r="C417" s="129" t="s">
        <v>5</v>
      </c>
      <c r="D417" s="107" t="s">
        <v>338</v>
      </c>
      <c r="E417" s="129" t="s">
        <v>6</v>
      </c>
      <c r="F417" s="129" t="s">
        <v>7</v>
      </c>
      <c r="G417" s="51">
        <f>(151*6.267)</f>
        <v>946.31700000000001</v>
      </c>
      <c r="H417" s="129">
        <f>9+1+8+1+8+1+6+1+11+1</f>
        <v>47</v>
      </c>
      <c r="I417" s="129">
        <v>5</v>
      </c>
      <c r="J417" s="148"/>
      <c r="K417" s="149"/>
      <c r="L417" s="150"/>
      <c r="M417" s="69"/>
      <c r="O417" s="138"/>
      <c r="P417" s="135"/>
    </row>
    <row r="418" spans="1:16" ht="13.5" customHeight="1" thickBot="1" x14ac:dyDescent="0.3">
      <c r="A418" s="151" t="s">
        <v>339</v>
      </c>
      <c r="B418" s="152"/>
      <c r="C418" s="152"/>
      <c r="D418" s="152"/>
      <c r="E418" s="152"/>
      <c r="F418" s="36"/>
      <c r="G418" s="36"/>
      <c r="H418" s="36"/>
      <c r="I418" s="36"/>
      <c r="J418" s="36"/>
      <c r="K418" s="36"/>
      <c r="L418" s="36"/>
      <c r="M418" s="37"/>
      <c r="O418" s="138"/>
      <c r="P418" s="135"/>
    </row>
    <row r="419" spans="1:16" ht="13.5" customHeight="1" x14ac:dyDescent="0.25">
      <c r="A419" s="18">
        <v>336</v>
      </c>
      <c r="B419" s="19">
        <v>45783</v>
      </c>
      <c r="C419" s="128" t="s">
        <v>5</v>
      </c>
      <c r="D419" s="46" t="s">
        <v>340</v>
      </c>
      <c r="E419" s="128" t="s">
        <v>6</v>
      </c>
      <c r="F419" s="128" t="s">
        <v>7</v>
      </c>
      <c r="G419" s="44">
        <f>(7*3*4.4)+(1*4*4.4)</f>
        <v>110</v>
      </c>
      <c r="H419" s="128">
        <f>7+1</f>
        <v>8</v>
      </c>
      <c r="I419" s="128">
        <v>1</v>
      </c>
      <c r="J419" s="148" t="s">
        <v>443</v>
      </c>
      <c r="K419" s="149"/>
      <c r="L419" s="150"/>
      <c r="M419" s="68"/>
      <c r="O419" s="138"/>
      <c r="P419" s="135"/>
    </row>
    <row r="420" spans="1:16" ht="13.5" customHeight="1" x14ac:dyDescent="0.25">
      <c r="A420" s="42">
        <v>337</v>
      </c>
      <c r="B420" s="48">
        <v>45783</v>
      </c>
      <c r="C420" s="129" t="s">
        <v>5</v>
      </c>
      <c r="D420" s="107" t="s">
        <v>341</v>
      </c>
      <c r="E420" s="129" t="s">
        <v>6</v>
      </c>
      <c r="F420" s="129" t="s">
        <v>7</v>
      </c>
      <c r="G420" s="129">
        <f>20.5*3</f>
        <v>61.5</v>
      </c>
      <c r="H420" s="129">
        <f>1+1</f>
        <v>2</v>
      </c>
      <c r="I420" s="129">
        <v>1</v>
      </c>
      <c r="J420" s="148"/>
      <c r="K420" s="149"/>
      <c r="L420" s="150"/>
      <c r="M420" s="69"/>
      <c r="O420" s="138"/>
      <c r="P420" s="135"/>
    </row>
    <row r="421" spans="1:16" ht="13.5" customHeight="1" x14ac:dyDescent="0.25">
      <c r="A421" s="18">
        <v>338</v>
      </c>
      <c r="B421" s="48">
        <v>45783</v>
      </c>
      <c r="C421" s="129" t="s">
        <v>5</v>
      </c>
      <c r="D421" s="107" t="s">
        <v>342</v>
      </c>
      <c r="E421" s="129" t="s">
        <v>6</v>
      </c>
      <c r="F421" s="129" t="s">
        <v>7</v>
      </c>
      <c r="G421" s="43">
        <f>(27*6)</f>
        <v>162</v>
      </c>
      <c r="H421" s="129">
        <f>8+1</f>
        <v>9</v>
      </c>
      <c r="I421" s="129">
        <v>1</v>
      </c>
      <c r="J421" s="148"/>
      <c r="K421" s="149"/>
      <c r="L421" s="150"/>
      <c r="M421" s="69"/>
      <c r="O421" s="138"/>
      <c r="P421" s="135"/>
    </row>
    <row r="422" spans="1:16" ht="13.5" customHeight="1" x14ac:dyDescent="0.25">
      <c r="A422" s="42">
        <v>339</v>
      </c>
      <c r="B422" s="48">
        <v>45783</v>
      </c>
      <c r="C422" s="129" t="s">
        <v>5</v>
      </c>
      <c r="D422" s="107" t="s">
        <v>343</v>
      </c>
      <c r="E422" s="129" t="s">
        <v>6</v>
      </c>
      <c r="F422" s="129" t="s">
        <v>7</v>
      </c>
      <c r="G422" s="51">
        <f>(16.5*6.25)</f>
        <v>103.125</v>
      </c>
      <c r="H422" s="129">
        <f>3+1</f>
        <v>4</v>
      </c>
      <c r="I422" s="129">
        <v>1</v>
      </c>
      <c r="J422" s="148"/>
      <c r="K422" s="149"/>
      <c r="L422" s="150"/>
      <c r="M422" s="69"/>
      <c r="O422" s="138"/>
      <c r="P422" s="135"/>
    </row>
    <row r="423" spans="1:16" ht="13.5" customHeight="1" x14ac:dyDescent="0.25">
      <c r="A423" s="18">
        <v>340</v>
      </c>
      <c r="B423" s="48">
        <v>45783</v>
      </c>
      <c r="C423" s="129" t="s">
        <v>5</v>
      </c>
      <c r="D423" s="107" t="s">
        <v>344</v>
      </c>
      <c r="E423" s="129" t="s">
        <v>6</v>
      </c>
      <c r="F423" s="129" t="s">
        <v>7</v>
      </c>
      <c r="G423" s="129">
        <f>52.9*8</f>
        <v>423.2</v>
      </c>
      <c r="H423" s="129">
        <f>16+2</f>
        <v>18</v>
      </c>
      <c r="I423" s="129">
        <v>2</v>
      </c>
      <c r="J423" s="148"/>
      <c r="K423" s="149"/>
      <c r="L423" s="150"/>
      <c r="M423" s="69"/>
      <c r="O423" s="138"/>
      <c r="P423" s="135"/>
    </row>
    <row r="424" spans="1:16" ht="13.5" customHeight="1" x14ac:dyDescent="0.25">
      <c r="A424" s="42">
        <v>341</v>
      </c>
      <c r="B424" s="48">
        <v>45783</v>
      </c>
      <c r="C424" s="129" t="s">
        <v>5</v>
      </c>
      <c r="D424" s="107" t="s">
        <v>345</v>
      </c>
      <c r="E424" s="129" t="s">
        <v>6</v>
      </c>
      <c r="F424" s="129" t="s">
        <v>7</v>
      </c>
      <c r="G424" s="129">
        <f>(18.5*5)</f>
        <v>92.5</v>
      </c>
      <c r="H424" s="129">
        <f>3+1</f>
        <v>4</v>
      </c>
      <c r="I424" s="129">
        <v>1</v>
      </c>
      <c r="J424" s="148"/>
      <c r="K424" s="149"/>
      <c r="L424" s="150"/>
      <c r="M424" s="69"/>
      <c r="O424" s="138"/>
      <c r="P424" s="135"/>
    </row>
    <row r="425" spans="1:16" ht="13.5" customHeight="1" x14ac:dyDescent="0.25">
      <c r="A425" s="18">
        <v>342</v>
      </c>
      <c r="B425" s="48">
        <v>45783</v>
      </c>
      <c r="C425" s="49" t="s">
        <v>5</v>
      </c>
      <c r="D425" s="107" t="s">
        <v>346</v>
      </c>
      <c r="E425" s="49" t="s">
        <v>6</v>
      </c>
      <c r="F425" s="49" t="s">
        <v>7</v>
      </c>
      <c r="G425" s="49">
        <f>(26.1*3.6)</f>
        <v>93.960000000000008</v>
      </c>
      <c r="H425" s="49">
        <f>8+1</f>
        <v>9</v>
      </c>
      <c r="I425" s="49">
        <v>1</v>
      </c>
      <c r="J425" s="148"/>
      <c r="K425" s="149"/>
      <c r="L425" s="150"/>
      <c r="M425" s="75"/>
      <c r="O425" s="138"/>
      <c r="P425" s="135"/>
    </row>
    <row r="426" spans="1:16" ht="13.5" customHeight="1" thickBot="1" x14ac:dyDescent="0.3">
      <c r="A426" s="42">
        <v>343</v>
      </c>
      <c r="B426" s="48">
        <v>45783</v>
      </c>
      <c r="C426" s="49" t="s">
        <v>5</v>
      </c>
      <c r="D426" s="107" t="s">
        <v>347</v>
      </c>
      <c r="E426" s="49" t="s">
        <v>6</v>
      </c>
      <c r="F426" s="49" t="s">
        <v>7</v>
      </c>
      <c r="G426" s="55">
        <f>(17.6+30.4)*4</f>
        <v>192</v>
      </c>
      <c r="H426" s="49">
        <f>12+2</f>
        <v>14</v>
      </c>
      <c r="I426" s="49">
        <v>2</v>
      </c>
      <c r="J426" s="148"/>
      <c r="K426" s="149"/>
      <c r="L426" s="150"/>
      <c r="M426" s="75"/>
      <c r="O426" s="138"/>
      <c r="P426" s="135"/>
    </row>
    <row r="427" spans="1:16" ht="13.5" customHeight="1" thickBot="1" x14ac:dyDescent="0.3">
      <c r="A427" s="151" t="s">
        <v>436</v>
      </c>
      <c r="B427" s="152"/>
      <c r="C427" s="152"/>
      <c r="D427" s="152"/>
      <c r="E427" s="152"/>
      <c r="F427" s="152"/>
      <c r="G427" s="12"/>
      <c r="H427" s="12"/>
      <c r="I427" s="12"/>
      <c r="J427" s="12"/>
      <c r="K427" s="12"/>
      <c r="L427" s="12"/>
      <c r="M427" s="13"/>
      <c r="O427" s="138"/>
      <c r="P427" s="135"/>
    </row>
    <row r="428" spans="1:16" ht="13.5" customHeight="1" x14ac:dyDescent="0.25">
      <c r="A428" s="14">
        <v>344</v>
      </c>
      <c r="B428" s="15">
        <v>45784</v>
      </c>
      <c r="C428" s="16" t="s">
        <v>5</v>
      </c>
      <c r="D428" s="92" t="s">
        <v>69</v>
      </c>
      <c r="E428" s="38" t="s">
        <v>6</v>
      </c>
      <c r="F428" s="38" t="s">
        <v>7</v>
      </c>
      <c r="G428" s="38">
        <f>(29*5.8)</f>
        <v>168.2</v>
      </c>
      <c r="H428" s="16">
        <f>7+1</f>
        <v>8</v>
      </c>
      <c r="I428" s="16">
        <v>1</v>
      </c>
      <c r="J428" s="145" t="s">
        <v>443</v>
      </c>
      <c r="K428" s="146"/>
      <c r="L428" s="147"/>
      <c r="M428" s="17"/>
      <c r="O428" s="138"/>
      <c r="P428" s="135"/>
    </row>
    <row r="429" spans="1:16" ht="13.5" customHeight="1" x14ac:dyDescent="0.25">
      <c r="A429" s="18">
        <v>345</v>
      </c>
      <c r="B429" s="19">
        <v>45784</v>
      </c>
      <c r="C429" s="128" t="s">
        <v>5</v>
      </c>
      <c r="D429" s="103" t="s">
        <v>70</v>
      </c>
      <c r="E429" s="24" t="s">
        <v>6</v>
      </c>
      <c r="F429" s="24" t="s">
        <v>7</v>
      </c>
      <c r="G429" s="55">
        <f>(42.3*4)</f>
        <v>169.2</v>
      </c>
      <c r="H429" s="128">
        <f>15+1</f>
        <v>16</v>
      </c>
      <c r="I429" s="128">
        <v>1</v>
      </c>
      <c r="J429" s="148"/>
      <c r="K429" s="149"/>
      <c r="L429" s="150"/>
      <c r="M429" s="21"/>
      <c r="O429" s="138"/>
      <c r="P429" s="135"/>
    </row>
    <row r="430" spans="1:16" ht="13.5" customHeight="1" thickBot="1" x14ac:dyDescent="0.3">
      <c r="A430" s="32">
        <v>346</v>
      </c>
      <c r="B430" s="33">
        <v>45784</v>
      </c>
      <c r="C430" s="34" t="s">
        <v>5</v>
      </c>
      <c r="D430" s="104" t="s">
        <v>71</v>
      </c>
      <c r="E430" s="28" t="s">
        <v>6</v>
      </c>
      <c r="F430" s="28" t="s">
        <v>7</v>
      </c>
      <c r="G430" s="94">
        <f>(40*4.8)</f>
        <v>192</v>
      </c>
      <c r="H430" s="34">
        <f>4+1</f>
        <v>5</v>
      </c>
      <c r="I430" s="34">
        <v>1</v>
      </c>
      <c r="J430" s="153"/>
      <c r="K430" s="154"/>
      <c r="L430" s="155"/>
      <c r="M430" s="35"/>
      <c r="O430" s="138"/>
      <c r="P430" s="135"/>
    </row>
    <row r="431" spans="1:16" ht="13.5" customHeight="1" thickBot="1" x14ac:dyDescent="0.3">
      <c r="A431" s="151" t="s">
        <v>348</v>
      </c>
      <c r="B431" s="152"/>
      <c r="C431" s="152"/>
      <c r="D431" s="152"/>
      <c r="E431" s="152"/>
      <c r="F431" s="152"/>
      <c r="G431" s="12"/>
      <c r="H431" s="12"/>
      <c r="I431" s="12"/>
      <c r="J431" s="12"/>
      <c r="K431" s="12"/>
      <c r="L431" s="12"/>
      <c r="M431" s="13"/>
      <c r="O431" s="138"/>
      <c r="P431" s="135"/>
    </row>
    <row r="432" spans="1:16" ht="13.5" customHeight="1" x14ac:dyDescent="0.25">
      <c r="A432" s="115">
        <v>347</v>
      </c>
      <c r="B432" s="116">
        <v>45784</v>
      </c>
      <c r="C432" s="117" t="s">
        <v>5</v>
      </c>
      <c r="D432" s="118" t="s">
        <v>349</v>
      </c>
      <c r="E432" s="117" t="s">
        <v>6</v>
      </c>
      <c r="F432" s="117" t="s">
        <v>7</v>
      </c>
      <c r="G432" s="117">
        <f>(9*2.7*5)+(2*4*6)</f>
        <v>169.5</v>
      </c>
      <c r="H432" s="117">
        <v>9</v>
      </c>
      <c r="I432" s="117">
        <v>2</v>
      </c>
      <c r="J432" s="156" t="s">
        <v>443</v>
      </c>
      <c r="K432" s="157"/>
      <c r="L432" s="158"/>
      <c r="M432" s="119"/>
      <c r="O432" s="138"/>
      <c r="P432" s="135"/>
    </row>
    <row r="433" spans="1:16" ht="13.5" customHeight="1" thickBot="1" x14ac:dyDescent="0.3">
      <c r="A433" s="120">
        <v>348</v>
      </c>
      <c r="B433" s="121">
        <v>45784</v>
      </c>
      <c r="C433" s="122" t="s">
        <v>5</v>
      </c>
      <c r="D433" s="123" t="s">
        <v>488</v>
      </c>
      <c r="E433" s="122" t="s">
        <v>6</v>
      </c>
      <c r="F433" s="122" t="s">
        <v>7</v>
      </c>
      <c r="G433" s="124">
        <f>(40*5.7)</f>
        <v>228</v>
      </c>
      <c r="H433" s="122">
        <v>11</v>
      </c>
      <c r="I433" s="122">
        <v>2</v>
      </c>
      <c r="J433" s="159"/>
      <c r="K433" s="160"/>
      <c r="L433" s="161"/>
      <c r="M433" s="125"/>
      <c r="O433" s="138"/>
      <c r="P433" s="135"/>
    </row>
    <row r="434" spans="1:16" ht="13.5" customHeight="1" thickBot="1" x14ac:dyDescent="0.3">
      <c r="A434" s="151" t="s">
        <v>437</v>
      </c>
      <c r="B434" s="152"/>
      <c r="C434" s="152"/>
      <c r="D434" s="152"/>
      <c r="E434" s="152"/>
      <c r="F434" s="152"/>
      <c r="G434" s="12"/>
      <c r="H434" s="12"/>
      <c r="I434" s="12"/>
      <c r="J434" s="12"/>
      <c r="K434" s="12"/>
      <c r="L434" s="12"/>
      <c r="M434" s="13"/>
      <c r="O434" s="138"/>
      <c r="P434" s="135"/>
    </row>
    <row r="435" spans="1:16" ht="13.5" customHeight="1" x14ac:dyDescent="0.25">
      <c r="A435" s="14">
        <v>349</v>
      </c>
      <c r="B435" s="15">
        <v>45789</v>
      </c>
      <c r="C435" s="16" t="s">
        <v>5</v>
      </c>
      <c r="D435" s="45" t="s">
        <v>130</v>
      </c>
      <c r="E435" s="16" t="s">
        <v>6</v>
      </c>
      <c r="F435" s="16" t="s">
        <v>7</v>
      </c>
      <c r="G435" s="38">
        <f>(33.7*6)</f>
        <v>202.20000000000002</v>
      </c>
      <c r="H435" s="16">
        <f>7+1</f>
        <v>8</v>
      </c>
      <c r="I435" s="16">
        <v>1</v>
      </c>
      <c r="J435" s="145" t="s">
        <v>443</v>
      </c>
      <c r="K435" s="146"/>
      <c r="L435" s="147"/>
      <c r="M435" s="17"/>
      <c r="O435" s="138"/>
      <c r="P435" s="135"/>
    </row>
    <row r="436" spans="1:16" ht="13.5" customHeight="1" x14ac:dyDescent="0.25">
      <c r="A436" s="18">
        <v>350</v>
      </c>
      <c r="B436" s="19">
        <v>45789</v>
      </c>
      <c r="C436" s="128" t="s">
        <v>5</v>
      </c>
      <c r="D436" s="46" t="s">
        <v>131</v>
      </c>
      <c r="E436" s="128" t="s">
        <v>6</v>
      </c>
      <c r="F436" s="128" t="s">
        <v>7</v>
      </c>
      <c r="G436" s="43">
        <f>(11*3)</f>
        <v>33</v>
      </c>
      <c r="H436" s="128">
        <f>1</f>
        <v>1</v>
      </c>
      <c r="I436" s="128">
        <v>1</v>
      </c>
      <c r="J436" s="148"/>
      <c r="K436" s="149"/>
      <c r="L436" s="150"/>
      <c r="M436" s="21"/>
      <c r="O436" s="138"/>
      <c r="P436" s="135"/>
    </row>
    <row r="437" spans="1:16" ht="13.5" customHeight="1" x14ac:dyDescent="0.25">
      <c r="A437" s="18">
        <v>351</v>
      </c>
      <c r="B437" s="19">
        <v>45789</v>
      </c>
      <c r="C437" s="128" t="s">
        <v>5</v>
      </c>
      <c r="D437" s="46" t="s">
        <v>132</v>
      </c>
      <c r="E437" s="128" t="s">
        <v>6</v>
      </c>
      <c r="F437" s="128" t="s">
        <v>7</v>
      </c>
      <c r="G437" s="44">
        <f>(20*4.2)</f>
        <v>84</v>
      </c>
      <c r="H437" s="128">
        <f>2+1</f>
        <v>3</v>
      </c>
      <c r="I437" s="128">
        <v>1</v>
      </c>
      <c r="J437" s="148"/>
      <c r="K437" s="149"/>
      <c r="L437" s="150"/>
      <c r="M437" s="21"/>
      <c r="O437" s="138"/>
      <c r="P437" s="135"/>
    </row>
    <row r="438" spans="1:16" ht="13.5" customHeight="1" x14ac:dyDescent="0.25">
      <c r="A438" s="18">
        <v>352</v>
      </c>
      <c r="B438" s="19">
        <v>45789</v>
      </c>
      <c r="C438" s="128" t="s">
        <v>5</v>
      </c>
      <c r="D438" s="46" t="s">
        <v>16</v>
      </c>
      <c r="E438" s="128" t="s">
        <v>6</v>
      </c>
      <c r="F438" s="128" t="s">
        <v>7</v>
      </c>
      <c r="G438" s="44">
        <f>(46*6)</f>
        <v>276</v>
      </c>
      <c r="H438" s="128">
        <f>11+2</f>
        <v>13</v>
      </c>
      <c r="I438" s="128">
        <v>2</v>
      </c>
      <c r="J438" s="148"/>
      <c r="K438" s="149"/>
      <c r="L438" s="150"/>
      <c r="M438" s="21"/>
      <c r="O438" s="138"/>
      <c r="P438" s="135"/>
    </row>
    <row r="439" spans="1:16" ht="13.5" customHeight="1" x14ac:dyDescent="0.25">
      <c r="A439" s="18">
        <v>353</v>
      </c>
      <c r="B439" s="19">
        <v>45789</v>
      </c>
      <c r="C439" s="128" t="s">
        <v>5</v>
      </c>
      <c r="D439" s="46" t="s">
        <v>133</v>
      </c>
      <c r="E439" s="128" t="s">
        <v>6</v>
      </c>
      <c r="F439" s="128" t="s">
        <v>7</v>
      </c>
      <c r="G439" s="44">
        <f>(34*6)</f>
        <v>204</v>
      </c>
      <c r="H439" s="128">
        <f>9+2</f>
        <v>11</v>
      </c>
      <c r="I439" s="128">
        <v>2</v>
      </c>
      <c r="J439" s="148"/>
      <c r="K439" s="149"/>
      <c r="L439" s="150"/>
      <c r="M439" s="21"/>
      <c r="O439" s="138"/>
      <c r="P439" s="135"/>
    </row>
    <row r="440" spans="1:16" ht="13.5" customHeight="1" x14ac:dyDescent="0.25">
      <c r="A440" s="18">
        <v>354</v>
      </c>
      <c r="B440" s="19">
        <v>45789</v>
      </c>
      <c r="C440" s="128" t="s">
        <v>5</v>
      </c>
      <c r="D440" s="46" t="s">
        <v>134</v>
      </c>
      <c r="E440" s="128" t="s">
        <v>6</v>
      </c>
      <c r="F440" s="128" t="s">
        <v>7</v>
      </c>
      <c r="G440" s="128">
        <f>2*7.5*3.1</f>
        <v>46.5</v>
      </c>
      <c r="H440" s="128">
        <f>1+1</f>
        <v>2</v>
      </c>
      <c r="I440" s="128">
        <v>1</v>
      </c>
      <c r="J440" s="148"/>
      <c r="K440" s="149"/>
      <c r="L440" s="150"/>
      <c r="M440" s="21"/>
      <c r="O440" s="138"/>
      <c r="P440" s="135"/>
    </row>
    <row r="441" spans="1:16" ht="13.5" customHeight="1" x14ac:dyDescent="0.25">
      <c r="A441" s="18">
        <v>355</v>
      </c>
      <c r="B441" s="19">
        <v>45789</v>
      </c>
      <c r="C441" s="128" t="s">
        <v>5</v>
      </c>
      <c r="D441" s="46" t="s">
        <v>135</v>
      </c>
      <c r="E441" s="128" t="s">
        <v>6</v>
      </c>
      <c r="F441" s="128" t="s">
        <v>7</v>
      </c>
      <c r="G441" s="128">
        <f>(45.2*4.1)</f>
        <v>185.32</v>
      </c>
      <c r="H441" s="128">
        <f>4+1</f>
        <v>5</v>
      </c>
      <c r="I441" s="128">
        <v>1</v>
      </c>
      <c r="J441" s="148"/>
      <c r="K441" s="149"/>
      <c r="L441" s="150"/>
      <c r="M441" s="21"/>
      <c r="O441" s="138"/>
      <c r="P441" s="135"/>
    </row>
    <row r="442" spans="1:16" ht="13.5" customHeight="1" thickBot="1" x14ac:dyDescent="0.3">
      <c r="A442" s="18">
        <v>356</v>
      </c>
      <c r="B442" s="33">
        <v>45789</v>
      </c>
      <c r="C442" s="34" t="s">
        <v>5</v>
      </c>
      <c r="D442" s="105" t="s">
        <v>136</v>
      </c>
      <c r="E442" s="34" t="s">
        <v>6</v>
      </c>
      <c r="F442" s="34" t="s">
        <v>7</v>
      </c>
      <c r="G442" s="34">
        <f>27.2*6</f>
        <v>163.19999999999999</v>
      </c>
      <c r="H442" s="34">
        <f>5+1</f>
        <v>6</v>
      </c>
      <c r="I442" s="34">
        <v>1</v>
      </c>
      <c r="J442" s="148"/>
      <c r="K442" s="149"/>
      <c r="L442" s="150"/>
      <c r="M442" s="35"/>
      <c r="O442" s="138"/>
      <c r="P442" s="135"/>
    </row>
    <row r="443" spans="1:16" ht="13.5" customHeight="1" thickBot="1" x14ac:dyDescent="0.3">
      <c r="A443" s="151" t="s">
        <v>350</v>
      </c>
      <c r="B443" s="152"/>
      <c r="C443" s="152"/>
      <c r="D443" s="152"/>
      <c r="E443" s="152"/>
      <c r="F443" s="152"/>
      <c r="G443" s="12"/>
      <c r="H443" s="12"/>
      <c r="I443" s="12"/>
      <c r="J443" s="12"/>
      <c r="K443" s="12"/>
      <c r="L443" s="12"/>
      <c r="M443" s="13"/>
      <c r="O443" s="138"/>
      <c r="P443" s="135"/>
    </row>
    <row r="444" spans="1:16" ht="21.75" customHeight="1" thickBot="1" x14ac:dyDescent="0.3">
      <c r="A444" s="14">
        <v>357</v>
      </c>
      <c r="B444" s="15">
        <v>45790</v>
      </c>
      <c r="C444" s="16" t="s">
        <v>5</v>
      </c>
      <c r="D444" s="45" t="s">
        <v>351</v>
      </c>
      <c r="E444" s="16" t="s">
        <v>6</v>
      </c>
      <c r="F444" s="16" t="s">
        <v>7</v>
      </c>
      <c r="G444" s="16">
        <f>(4*2.6*(5+4))+(1*4*(6+3))</f>
        <v>129.60000000000002</v>
      </c>
      <c r="H444" s="16">
        <f>4+1</f>
        <v>5</v>
      </c>
      <c r="I444" s="16">
        <v>1</v>
      </c>
      <c r="J444" s="145" t="s">
        <v>443</v>
      </c>
      <c r="K444" s="146"/>
      <c r="L444" s="147"/>
      <c r="M444" s="17"/>
      <c r="O444" s="138"/>
      <c r="P444" s="135"/>
    </row>
    <row r="445" spans="1:16" ht="13.5" customHeight="1" thickBot="1" x14ac:dyDescent="0.3">
      <c r="A445" s="151" t="s">
        <v>352</v>
      </c>
      <c r="B445" s="152"/>
      <c r="C445" s="152"/>
      <c r="D445" s="152"/>
      <c r="E445" s="152"/>
      <c r="F445" s="152"/>
      <c r="G445" s="12"/>
      <c r="H445" s="12"/>
      <c r="I445" s="12"/>
      <c r="J445" s="12"/>
      <c r="K445" s="12"/>
      <c r="L445" s="12"/>
      <c r="M445" s="13"/>
      <c r="O445" s="138"/>
      <c r="P445" s="135"/>
    </row>
    <row r="446" spans="1:16" ht="13.5" customHeight="1" x14ac:dyDescent="0.25">
      <c r="A446" s="14">
        <v>358</v>
      </c>
      <c r="B446" s="15">
        <v>45790</v>
      </c>
      <c r="C446" s="16" t="s">
        <v>5</v>
      </c>
      <c r="D446" s="45" t="s">
        <v>353</v>
      </c>
      <c r="E446" s="16" t="s">
        <v>6</v>
      </c>
      <c r="F446" s="16" t="s">
        <v>7</v>
      </c>
      <c r="G446" s="16">
        <f>(28.5*5)</f>
        <v>142.5</v>
      </c>
      <c r="H446" s="16">
        <f>9+1</f>
        <v>10</v>
      </c>
      <c r="I446" s="16">
        <v>1</v>
      </c>
      <c r="J446" s="145" t="s">
        <v>443</v>
      </c>
      <c r="K446" s="146"/>
      <c r="L446" s="147"/>
      <c r="M446" s="17"/>
      <c r="O446" s="138"/>
      <c r="P446" s="135"/>
    </row>
    <row r="447" spans="1:16" ht="13.5" customHeight="1" thickBot="1" x14ac:dyDescent="0.3">
      <c r="A447" s="32">
        <v>359</v>
      </c>
      <c r="B447" s="33">
        <v>45790</v>
      </c>
      <c r="C447" s="34" t="s">
        <v>5</v>
      </c>
      <c r="D447" s="105" t="s">
        <v>470</v>
      </c>
      <c r="E447" s="34" t="s">
        <v>6</v>
      </c>
      <c r="F447" s="34" t="s">
        <v>7</v>
      </c>
      <c r="G447" s="34">
        <f>(21.5*4.3)</f>
        <v>92.45</v>
      </c>
      <c r="H447" s="34">
        <f>3+1</f>
        <v>4</v>
      </c>
      <c r="I447" s="34">
        <v>1</v>
      </c>
      <c r="J447" s="148"/>
      <c r="K447" s="149"/>
      <c r="L447" s="150"/>
      <c r="M447" s="35"/>
      <c r="O447" s="138"/>
      <c r="P447" s="135"/>
    </row>
    <row r="448" spans="1:16" ht="13.5" customHeight="1" thickBot="1" x14ac:dyDescent="0.3">
      <c r="A448" s="151" t="s">
        <v>354</v>
      </c>
      <c r="B448" s="152"/>
      <c r="C448" s="152"/>
      <c r="D448" s="152"/>
      <c r="E448" s="152"/>
      <c r="F448" s="152"/>
      <c r="G448" s="12"/>
      <c r="H448" s="12"/>
      <c r="I448" s="12"/>
      <c r="J448" s="12"/>
      <c r="K448" s="12"/>
      <c r="L448" s="12"/>
      <c r="M448" s="13"/>
      <c r="O448" s="138"/>
      <c r="P448" s="135"/>
    </row>
    <row r="449" spans="1:16" ht="13.5" customHeight="1" x14ac:dyDescent="0.25">
      <c r="A449" s="14">
        <v>360</v>
      </c>
      <c r="B449" s="15">
        <v>45790</v>
      </c>
      <c r="C449" s="16" t="s">
        <v>5</v>
      </c>
      <c r="D449" s="45" t="s">
        <v>355</v>
      </c>
      <c r="E449" s="16" t="s">
        <v>6</v>
      </c>
      <c r="F449" s="16" t="s">
        <v>7</v>
      </c>
      <c r="G449" s="41">
        <f>((4.5+6.2)/2)*100</f>
        <v>535</v>
      </c>
      <c r="H449" s="16">
        <f>33+4</f>
        <v>37</v>
      </c>
      <c r="I449" s="16">
        <v>4</v>
      </c>
      <c r="J449" s="145" t="s">
        <v>443</v>
      </c>
      <c r="K449" s="146"/>
      <c r="L449" s="147"/>
      <c r="M449" s="17"/>
      <c r="O449" s="138"/>
      <c r="P449" s="135"/>
    </row>
    <row r="450" spans="1:16" ht="13.5" customHeight="1" x14ac:dyDescent="0.25">
      <c r="A450" s="18">
        <v>361</v>
      </c>
      <c r="B450" s="19">
        <v>45790</v>
      </c>
      <c r="C450" s="128" t="s">
        <v>5</v>
      </c>
      <c r="D450" s="46" t="s">
        <v>356</v>
      </c>
      <c r="E450" s="128" t="s">
        <v>6</v>
      </c>
      <c r="F450" s="128" t="s">
        <v>7</v>
      </c>
      <c r="G450" s="129">
        <f>(34*6.2)</f>
        <v>210.8</v>
      </c>
      <c r="H450" s="128">
        <f>10+2</f>
        <v>12</v>
      </c>
      <c r="I450" s="128">
        <v>2</v>
      </c>
      <c r="J450" s="148"/>
      <c r="K450" s="149"/>
      <c r="L450" s="150"/>
      <c r="M450" s="21"/>
      <c r="O450" s="138"/>
      <c r="P450" s="135"/>
    </row>
    <row r="451" spans="1:16" ht="13.5" customHeight="1" x14ac:dyDescent="0.25">
      <c r="A451" s="18">
        <v>362</v>
      </c>
      <c r="B451" s="19">
        <v>45790</v>
      </c>
      <c r="C451" s="128" t="s">
        <v>5</v>
      </c>
      <c r="D451" s="46" t="s">
        <v>357</v>
      </c>
      <c r="E451" s="128" t="s">
        <v>6</v>
      </c>
      <c r="F451" s="128" t="s">
        <v>7</v>
      </c>
      <c r="G451" s="44">
        <f>(54*3)</f>
        <v>162</v>
      </c>
      <c r="H451" s="128">
        <f>7+1</f>
        <v>8</v>
      </c>
      <c r="I451" s="128">
        <v>1</v>
      </c>
      <c r="J451" s="148"/>
      <c r="K451" s="149"/>
      <c r="L451" s="150"/>
      <c r="M451" s="21"/>
      <c r="O451" s="138"/>
      <c r="P451" s="135"/>
    </row>
    <row r="452" spans="1:16" ht="13.5" customHeight="1" thickBot="1" x14ac:dyDescent="0.3">
      <c r="A452" s="18">
        <v>363</v>
      </c>
      <c r="B452" s="19">
        <v>45790</v>
      </c>
      <c r="C452" s="128" t="s">
        <v>5</v>
      </c>
      <c r="D452" s="46" t="s">
        <v>358</v>
      </c>
      <c r="E452" s="128" t="s">
        <v>6</v>
      </c>
      <c r="F452" s="128" t="s">
        <v>7</v>
      </c>
      <c r="G452" s="128">
        <f>(15*2.5*5)+(2*3.8*6)</f>
        <v>233.1</v>
      </c>
      <c r="H452" s="128">
        <f>15+2</f>
        <v>17</v>
      </c>
      <c r="I452" s="128">
        <v>2</v>
      </c>
      <c r="J452" s="148"/>
      <c r="K452" s="149"/>
      <c r="L452" s="150"/>
      <c r="M452" s="21"/>
      <c r="O452" s="138"/>
      <c r="P452" s="135"/>
    </row>
    <row r="453" spans="1:16" ht="13.5" customHeight="1" thickBot="1" x14ac:dyDescent="0.3">
      <c r="A453" s="151" t="s">
        <v>359</v>
      </c>
      <c r="B453" s="152"/>
      <c r="C453" s="152"/>
      <c r="D453" s="152"/>
      <c r="E453" s="152"/>
      <c r="F453" s="152"/>
      <c r="G453" s="12"/>
      <c r="H453" s="12"/>
      <c r="I453" s="12"/>
      <c r="J453" s="12"/>
      <c r="K453" s="12"/>
      <c r="L453" s="12"/>
      <c r="M453" s="13"/>
      <c r="O453" s="138"/>
      <c r="P453" s="135"/>
    </row>
    <row r="454" spans="1:16" ht="13.5" customHeight="1" x14ac:dyDescent="0.25">
      <c r="A454" s="14">
        <v>364</v>
      </c>
      <c r="B454" s="15">
        <v>45790</v>
      </c>
      <c r="C454" s="16" t="s">
        <v>5</v>
      </c>
      <c r="D454" s="92" t="s">
        <v>360</v>
      </c>
      <c r="E454" s="38" t="s">
        <v>6</v>
      </c>
      <c r="F454" s="38" t="s">
        <v>7</v>
      </c>
      <c r="G454" s="38">
        <f>(27*6.1)</f>
        <v>164.7</v>
      </c>
      <c r="H454" s="16">
        <f>7+1</f>
        <v>8</v>
      </c>
      <c r="I454" s="16">
        <v>1</v>
      </c>
      <c r="J454" s="145" t="s">
        <v>443</v>
      </c>
      <c r="K454" s="146"/>
      <c r="L454" s="147"/>
      <c r="M454" s="17"/>
      <c r="O454" s="138"/>
      <c r="P454" s="135"/>
    </row>
    <row r="455" spans="1:16" ht="13.5" customHeight="1" x14ac:dyDescent="0.25">
      <c r="A455" s="18">
        <v>365</v>
      </c>
      <c r="B455" s="19">
        <v>45790</v>
      </c>
      <c r="C455" s="128" t="s">
        <v>5</v>
      </c>
      <c r="D455" s="103" t="s">
        <v>361</v>
      </c>
      <c r="E455" s="24" t="s">
        <v>6</v>
      </c>
      <c r="F455" s="24" t="s">
        <v>7</v>
      </c>
      <c r="G455" s="49">
        <f>((5+3.6)/2)*55</f>
        <v>236.5</v>
      </c>
      <c r="H455" s="128">
        <f>6+1</f>
        <v>7</v>
      </c>
      <c r="I455" s="128">
        <v>1</v>
      </c>
      <c r="J455" s="148"/>
      <c r="K455" s="149"/>
      <c r="L455" s="150"/>
      <c r="M455" s="21"/>
      <c r="O455" s="138"/>
      <c r="P455" s="135"/>
    </row>
    <row r="456" spans="1:16" ht="13.5" customHeight="1" thickBot="1" x14ac:dyDescent="0.3">
      <c r="A456" s="18">
        <v>366</v>
      </c>
      <c r="B456" s="19">
        <v>45790</v>
      </c>
      <c r="C456" s="128" t="s">
        <v>5</v>
      </c>
      <c r="D456" s="103" t="s">
        <v>362</v>
      </c>
      <c r="E456" s="24" t="s">
        <v>6</v>
      </c>
      <c r="F456" s="24" t="s">
        <v>7</v>
      </c>
      <c r="G456" s="40">
        <f>(33.5*6)</f>
        <v>201</v>
      </c>
      <c r="H456" s="128">
        <f>8+1</f>
        <v>9</v>
      </c>
      <c r="I456" s="128">
        <v>1</v>
      </c>
      <c r="J456" s="148"/>
      <c r="K456" s="149"/>
      <c r="L456" s="150"/>
      <c r="M456" s="21"/>
      <c r="O456" s="138"/>
      <c r="P456" s="135"/>
    </row>
    <row r="457" spans="1:16" ht="13.5" customHeight="1" thickBot="1" x14ac:dyDescent="0.3">
      <c r="A457" s="151" t="s">
        <v>363</v>
      </c>
      <c r="B457" s="152"/>
      <c r="C457" s="152"/>
      <c r="D457" s="152"/>
      <c r="E457" s="152"/>
      <c r="F457" s="152"/>
      <c r="G457" s="12"/>
      <c r="H457" s="12"/>
      <c r="I457" s="12"/>
      <c r="J457" s="12"/>
      <c r="K457" s="12"/>
      <c r="L457" s="12"/>
      <c r="M457" s="13"/>
      <c r="O457" s="138"/>
      <c r="P457" s="135"/>
    </row>
    <row r="458" spans="1:16" ht="13.5" customHeight="1" x14ac:dyDescent="0.25">
      <c r="A458" s="14">
        <v>367</v>
      </c>
      <c r="B458" s="15">
        <v>45791</v>
      </c>
      <c r="C458" s="16" t="s">
        <v>5</v>
      </c>
      <c r="D458" s="92" t="s">
        <v>364</v>
      </c>
      <c r="E458" s="38" t="s">
        <v>6</v>
      </c>
      <c r="F458" s="38" t="s">
        <v>7</v>
      </c>
      <c r="G458" s="38">
        <f>(68*4.21)</f>
        <v>286.27999999999997</v>
      </c>
      <c r="H458" s="16">
        <f>18+3</f>
        <v>21</v>
      </c>
      <c r="I458" s="16">
        <v>3</v>
      </c>
      <c r="J458" s="145" t="s">
        <v>443</v>
      </c>
      <c r="K458" s="146"/>
      <c r="L458" s="147"/>
      <c r="M458" s="17"/>
      <c r="O458" s="138"/>
      <c r="P458" s="135"/>
    </row>
    <row r="459" spans="1:16" ht="13.5" customHeight="1" x14ac:dyDescent="0.25">
      <c r="A459" s="18">
        <v>368</v>
      </c>
      <c r="B459" s="19">
        <v>45791</v>
      </c>
      <c r="C459" s="128" t="s">
        <v>5</v>
      </c>
      <c r="D459" s="103" t="s">
        <v>365</v>
      </c>
      <c r="E459" s="24" t="s">
        <v>6</v>
      </c>
      <c r="F459" s="24" t="s">
        <v>7</v>
      </c>
      <c r="G459" s="55">
        <f>(21*4)</f>
        <v>84</v>
      </c>
      <c r="H459" s="128">
        <f>2+1</f>
        <v>3</v>
      </c>
      <c r="I459" s="128">
        <v>1</v>
      </c>
      <c r="J459" s="148"/>
      <c r="K459" s="149"/>
      <c r="L459" s="150"/>
      <c r="M459" s="21"/>
      <c r="O459" s="138"/>
      <c r="P459" s="135"/>
    </row>
    <row r="460" spans="1:16" ht="13.5" customHeight="1" x14ac:dyDescent="0.25">
      <c r="A460" s="18">
        <v>369</v>
      </c>
      <c r="B460" s="19">
        <v>45791</v>
      </c>
      <c r="C460" s="128" t="s">
        <v>5</v>
      </c>
      <c r="D460" s="103" t="s">
        <v>366</v>
      </c>
      <c r="E460" s="24" t="s">
        <v>6</v>
      </c>
      <c r="F460" s="24" t="s">
        <v>7</v>
      </c>
      <c r="G460" s="24">
        <f>(20*2.5*(5+4))+(3*3.6*(6+3))</f>
        <v>547.20000000000005</v>
      </c>
      <c r="H460" s="128">
        <f>20+3</f>
        <v>23</v>
      </c>
      <c r="I460" s="128">
        <v>3</v>
      </c>
      <c r="J460" s="148"/>
      <c r="K460" s="149"/>
      <c r="L460" s="150"/>
      <c r="M460" s="21"/>
      <c r="O460" s="138"/>
      <c r="P460" s="135"/>
    </row>
    <row r="461" spans="1:16" ht="13.5" customHeight="1" x14ac:dyDescent="0.25">
      <c r="A461" s="18">
        <v>370</v>
      </c>
      <c r="B461" s="19">
        <v>45791</v>
      </c>
      <c r="C461" s="128" t="s">
        <v>5</v>
      </c>
      <c r="D461" s="103" t="s">
        <v>367</v>
      </c>
      <c r="E461" s="24" t="s">
        <v>6</v>
      </c>
      <c r="F461" s="24" t="s">
        <v>7</v>
      </c>
      <c r="G461" s="40">
        <f>(20*6.8)</f>
        <v>136</v>
      </c>
      <c r="H461" s="128">
        <f>5+1</f>
        <v>6</v>
      </c>
      <c r="I461" s="128">
        <v>1</v>
      </c>
      <c r="J461" s="148"/>
      <c r="K461" s="149"/>
      <c r="L461" s="150"/>
      <c r="M461" s="21"/>
      <c r="O461" s="138"/>
      <c r="P461" s="135"/>
    </row>
    <row r="462" spans="1:16" ht="13.5" customHeight="1" x14ac:dyDescent="0.25">
      <c r="A462" s="18">
        <v>371</v>
      </c>
      <c r="B462" s="19">
        <v>45791</v>
      </c>
      <c r="C462" s="128" t="s">
        <v>5</v>
      </c>
      <c r="D462" s="103" t="s">
        <v>368</v>
      </c>
      <c r="E462" s="24" t="s">
        <v>6</v>
      </c>
      <c r="F462" s="24" t="s">
        <v>7</v>
      </c>
      <c r="G462" s="24">
        <f>(17*5.5)+(47*3.4)</f>
        <v>253.29999999999998</v>
      </c>
      <c r="H462" s="128">
        <f>3+1+5</f>
        <v>9</v>
      </c>
      <c r="I462" s="128">
        <v>1</v>
      </c>
      <c r="J462" s="148"/>
      <c r="K462" s="149"/>
      <c r="L462" s="150"/>
      <c r="M462" s="21"/>
      <c r="O462" s="138"/>
      <c r="P462" s="135"/>
    </row>
    <row r="463" spans="1:16" ht="13.5" customHeight="1" x14ac:dyDescent="0.25">
      <c r="A463" s="18">
        <v>372</v>
      </c>
      <c r="B463" s="19">
        <v>45791</v>
      </c>
      <c r="C463" s="128" t="s">
        <v>5</v>
      </c>
      <c r="D463" s="103" t="s">
        <v>369</v>
      </c>
      <c r="E463" s="24" t="s">
        <v>6</v>
      </c>
      <c r="F463" s="24" t="s">
        <v>7</v>
      </c>
      <c r="G463" s="24">
        <f>(143.8*3.5)</f>
        <v>503.30000000000007</v>
      </c>
      <c r="H463" s="128">
        <f>15+2</f>
        <v>17</v>
      </c>
      <c r="I463" s="128">
        <v>2</v>
      </c>
      <c r="J463" s="148"/>
      <c r="K463" s="149"/>
      <c r="L463" s="150"/>
      <c r="M463" s="21"/>
      <c r="O463" s="138"/>
      <c r="P463" s="135"/>
    </row>
    <row r="464" spans="1:16" ht="13.5" customHeight="1" thickBot="1" x14ac:dyDescent="0.3">
      <c r="A464" s="18">
        <v>373</v>
      </c>
      <c r="B464" s="19">
        <v>45791</v>
      </c>
      <c r="C464" s="128" t="s">
        <v>5</v>
      </c>
      <c r="D464" s="103" t="s">
        <v>370</v>
      </c>
      <c r="E464" s="24" t="s">
        <v>6</v>
      </c>
      <c r="F464" s="24" t="s">
        <v>7</v>
      </c>
      <c r="G464" s="40">
        <f>(143*3)</f>
        <v>429</v>
      </c>
      <c r="H464" s="128">
        <f>16+2</f>
        <v>18</v>
      </c>
      <c r="I464" s="128">
        <v>2</v>
      </c>
      <c r="J464" s="148"/>
      <c r="K464" s="149"/>
      <c r="L464" s="150"/>
      <c r="M464" s="21"/>
      <c r="O464" s="138"/>
      <c r="P464" s="135"/>
    </row>
    <row r="465" spans="1:16" ht="13.5" customHeight="1" thickBot="1" x14ac:dyDescent="0.3">
      <c r="A465" s="151" t="s">
        <v>371</v>
      </c>
      <c r="B465" s="152"/>
      <c r="C465" s="152"/>
      <c r="D465" s="152"/>
      <c r="E465" s="152"/>
      <c r="F465" s="152"/>
      <c r="G465" s="12"/>
      <c r="H465" s="12"/>
      <c r="I465" s="12"/>
      <c r="J465" s="12"/>
      <c r="K465" s="12"/>
      <c r="L465" s="12"/>
      <c r="M465" s="13"/>
      <c r="O465" s="138"/>
      <c r="P465" s="135"/>
    </row>
    <row r="466" spans="1:16" ht="13.5" customHeight="1" x14ac:dyDescent="0.25">
      <c r="A466" s="14">
        <v>374</v>
      </c>
      <c r="B466" s="15">
        <v>45791</v>
      </c>
      <c r="C466" s="16" t="s">
        <v>5</v>
      </c>
      <c r="D466" s="45" t="s">
        <v>372</v>
      </c>
      <c r="E466" s="16" t="s">
        <v>6</v>
      </c>
      <c r="F466" s="16" t="s">
        <v>7</v>
      </c>
      <c r="G466" s="16">
        <f>(32.7*6.1)</f>
        <v>199.47</v>
      </c>
      <c r="H466" s="16">
        <f>9+1</f>
        <v>10</v>
      </c>
      <c r="I466" s="16">
        <v>1</v>
      </c>
      <c r="J466" s="145" t="s">
        <v>443</v>
      </c>
      <c r="K466" s="146"/>
      <c r="L466" s="147"/>
      <c r="M466" s="17"/>
      <c r="O466" s="138"/>
      <c r="P466" s="135"/>
    </row>
    <row r="467" spans="1:16" ht="13.5" customHeight="1" thickBot="1" x14ac:dyDescent="0.3">
      <c r="A467" s="32">
        <v>375</v>
      </c>
      <c r="B467" s="33">
        <v>45791</v>
      </c>
      <c r="C467" s="34" t="s">
        <v>5</v>
      </c>
      <c r="D467" s="105" t="s">
        <v>373</v>
      </c>
      <c r="E467" s="34" t="s">
        <v>6</v>
      </c>
      <c r="F467" s="34" t="s">
        <v>7</v>
      </c>
      <c r="G467" s="34">
        <f>(2*7.5*3.7)+(1*8*3.7)</f>
        <v>85.1</v>
      </c>
      <c r="H467" s="34">
        <f>2+1</f>
        <v>3</v>
      </c>
      <c r="I467" s="34">
        <v>1</v>
      </c>
      <c r="J467" s="148"/>
      <c r="K467" s="149"/>
      <c r="L467" s="150"/>
      <c r="M467" s="35"/>
      <c r="O467" s="138"/>
      <c r="P467" s="135"/>
    </row>
    <row r="468" spans="1:16" ht="13.5" customHeight="1" thickBot="1" x14ac:dyDescent="0.3">
      <c r="A468" s="151" t="s">
        <v>146</v>
      </c>
      <c r="B468" s="152"/>
      <c r="C468" s="152"/>
      <c r="D468" s="152"/>
      <c r="E468" s="152"/>
      <c r="F468" s="152"/>
      <c r="G468" s="12"/>
      <c r="H468" s="12"/>
      <c r="I468" s="12"/>
      <c r="J468" s="12"/>
      <c r="K468" s="12"/>
      <c r="L468" s="12"/>
      <c r="M468" s="13"/>
      <c r="O468" s="138"/>
      <c r="P468" s="135"/>
    </row>
    <row r="469" spans="1:16" ht="21.75" customHeight="1" thickBot="1" x14ac:dyDescent="0.3">
      <c r="A469" s="14">
        <v>376</v>
      </c>
      <c r="B469" s="15">
        <v>45791</v>
      </c>
      <c r="C469" s="16" t="s">
        <v>5</v>
      </c>
      <c r="D469" s="45" t="s">
        <v>147</v>
      </c>
      <c r="E469" s="16" t="s">
        <v>6</v>
      </c>
      <c r="F469" s="16" t="s">
        <v>7</v>
      </c>
      <c r="G469" s="41">
        <f>(24*4.5)+(33*5)</f>
        <v>273</v>
      </c>
      <c r="H469" s="16">
        <f>8+1</f>
        <v>9</v>
      </c>
      <c r="I469" s="16">
        <v>1</v>
      </c>
      <c r="J469" s="145" t="s">
        <v>443</v>
      </c>
      <c r="K469" s="146"/>
      <c r="L469" s="147"/>
      <c r="M469" s="17"/>
      <c r="O469" s="138"/>
      <c r="P469" s="135"/>
    </row>
    <row r="470" spans="1:16" ht="13.5" customHeight="1" thickBot="1" x14ac:dyDescent="0.3">
      <c r="A470" s="151" t="s">
        <v>374</v>
      </c>
      <c r="B470" s="152"/>
      <c r="C470" s="152"/>
      <c r="D470" s="152"/>
      <c r="E470" s="152"/>
      <c r="F470" s="152"/>
      <c r="G470" s="12"/>
      <c r="H470" s="12"/>
      <c r="I470" s="12"/>
      <c r="J470" s="12"/>
      <c r="K470" s="12"/>
      <c r="L470" s="12"/>
      <c r="M470" s="13"/>
      <c r="O470" s="138"/>
      <c r="P470" s="135"/>
    </row>
    <row r="471" spans="1:16" ht="13.5" customHeight="1" x14ac:dyDescent="0.25">
      <c r="A471" s="14">
        <v>377</v>
      </c>
      <c r="B471" s="15">
        <v>45792</v>
      </c>
      <c r="C471" s="16" t="s">
        <v>5</v>
      </c>
      <c r="D471" s="45" t="s">
        <v>375</v>
      </c>
      <c r="E471" s="16" t="s">
        <v>6</v>
      </c>
      <c r="F471" s="16" t="s">
        <v>7</v>
      </c>
      <c r="G471" s="16">
        <f>(4*7.5*2.6)+(1*7.5*2.6)</f>
        <v>97.5</v>
      </c>
      <c r="H471" s="16">
        <f>4+1</f>
        <v>5</v>
      </c>
      <c r="I471" s="16">
        <v>1</v>
      </c>
      <c r="J471" s="145" t="s">
        <v>443</v>
      </c>
      <c r="K471" s="146"/>
      <c r="L471" s="147"/>
      <c r="M471" s="17"/>
      <c r="O471" s="138"/>
      <c r="P471" s="135"/>
    </row>
    <row r="472" spans="1:16" ht="13.5" customHeight="1" thickBot="1" x14ac:dyDescent="0.3">
      <c r="A472" s="32">
        <v>378</v>
      </c>
      <c r="B472" s="33">
        <v>45792</v>
      </c>
      <c r="C472" s="34" t="s">
        <v>5</v>
      </c>
      <c r="D472" s="105" t="s">
        <v>376</v>
      </c>
      <c r="E472" s="34" t="s">
        <v>6</v>
      </c>
      <c r="F472" s="34" t="s">
        <v>7</v>
      </c>
      <c r="G472" s="34">
        <f>(2*5.5*4)+(1*6*4)</f>
        <v>68</v>
      </c>
      <c r="H472" s="34">
        <f>2+1</f>
        <v>3</v>
      </c>
      <c r="I472" s="34">
        <v>1</v>
      </c>
      <c r="J472" s="148"/>
      <c r="K472" s="149"/>
      <c r="L472" s="150"/>
      <c r="M472" s="35"/>
      <c r="O472" s="138"/>
      <c r="P472" s="135"/>
    </row>
    <row r="473" spans="1:16" ht="13.5" customHeight="1" thickBot="1" x14ac:dyDescent="0.3">
      <c r="A473" s="151" t="s">
        <v>237</v>
      </c>
      <c r="B473" s="152"/>
      <c r="C473" s="152"/>
      <c r="D473" s="152"/>
      <c r="E473" s="152"/>
      <c r="F473" s="152"/>
      <c r="G473" s="12"/>
      <c r="H473" s="12"/>
      <c r="I473" s="12"/>
      <c r="J473" s="12"/>
      <c r="K473" s="12"/>
      <c r="L473" s="12"/>
      <c r="M473" s="13"/>
      <c r="O473" s="138"/>
      <c r="P473" s="135"/>
    </row>
    <row r="474" spans="1:16" ht="13.5" customHeight="1" x14ac:dyDescent="0.25">
      <c r="A474" s="14">
        <v>379</v>
      </c>
      <c r="B474" s="15">
        <v>45792</v>
      </c>
      <c r="C474" s="16" t="s">
        <v>5</v>
      </c>
      <c r="D474" s="45" t="s">
        <v>238</v>
      </c>
      <c r="E474" s="16" t="s">
        <v>6</v>
      </c>
      <c r="F474" s="16" t="s">
        <v>7</v>
      </c>
      <c r="G474" s="41">
        <f>(96.3*9)+(15*14)+(9*7)</f>
        <v>1139.6999999999998</v>
      </c>
      <c r="H474" s="16">
        <f>30+4</f>
        <v>34</v>
      </c>
      <c r="I474" s="16">
        <v>4</v>
      </c>
      <c r="J474" s="145" t="s">
        <v>443</v>
      </c>
      <c r="K474" s="146"/>
      <c r="L474" s="147"/>
      <c r="M474" s="17"/>
      <c r="O474" s="138"/>
      <c r="P474" s="135"/>
    </row>
    <row r="475" spans="1:16" ht="13.5" customHeight="1" x14ac:dyDescent="0.25">
      <c r="A475" s="42">
        <v>380</v>
      </c>
      <c r="B475" s="19">
        <v>45792</v>
      </c>
      <c r="C475" s="128" t="s">
        <v>5</v>
      </c>
      <c r="D475" s="46" t="s">
        <v>239</v>
      </c>
      <c r="E475" s="128" t="s">
        <v>6</v>
      </c>
      <c r="F475" s="128" t="s">
        <v>7</v>
      </c>
      <c r="G475" s="43">
        <f>((59+36)/2)*3.23</f>
        <v>153.42500000000001</v>
      </c>
      <c r="H475" s="128">
        <f>4+1</f>
        <v>5</v>
      </c>
      <c r="I475" s="128">
        <v>1</v>
      </c>
      <c r="J475" s="148"/>
      <c r="K475" s="149"/>
      <c r="L475" s="150"/>
      <c r="M475" s="21"/>
      <c r="O475" s="138"/>
      <c r="P475" s="135"/>
    </row>
    <row r="476" spans="1:16" ht="13.5" customHeight="1" x14ac:dyDescent="0.25">
      <c r="A476" s="18">
        <v>381</v>
      </c>
      <c r="B476" s="19">
        <v>45792</v>
      </c>
      <c r="C476" s="128" t="s">
        <v>5</v>
      </c>
      <c r="D476" s="46" t="s">
        <v>240</v>
      </c>
      <c r="E476" s="128" t="s">
        <v>6</v>
      </c>
      <c r="F476" s="128" t="s">
        <v>7</v>
      </c>
      <c r="G476" s="128">
        <f>(35*2.5*(5+4))+(4*3.6*(5+4))+32.29+37.97</f>
        <v>987.36</v>
      </c>
      <c r="H476" s="128">
        <f>35+4</f>
        <v>39</v>
      </c>
      <c r="I476" s="128">
        <v>4</v>
      </c>
      <c r="J476" s="148"/>
      <c r="K476" s="149"/>
      <c r="L476" s="150"/>
      <c r="M476" s="21"/>
      <c r="O476" s="138"/>
      <c r="P476" s="135"/>
    </row>
    <row r="477" spans="1:16" ht="13.5" customHeight="1" thickBot="1" x14ac:dyDescent="0.3">
      <c r="A477" s="18">
        <v>382</v>
      </c>
      <c r="B477" s="19">
        <v>45792</v>
      </c>
      <c r="C477" s="128" t="s">
        <v>5</v>
      </c>
      <c r="D477" s="46" t="s">
        <v>241</v>
      </c>
      <c r="E477" s="128" t="s">
        <v>6</v>
      </c>
      <c r="F477" s="128" t="s">
        <v>7</v>
      </c>
      <c r="G477" s="128">
        <f>(51.8*9)+(10*7)+(12*7)</f>
        <v>620.20000000000005</v>
      </c>
      <c r="H477" s="128">
        <f>18+2</f>
        <v>20</v>
      </c>
      <c r="I477" s="128">
        <v>2</v>
      </c>
      <c r="J477" s="148"/>
      <c r="K477" s="149"/>
      <c r="L477" s="150"/>
      <c r="M477" s="21"/>
      <c r="O477" s="138"/>
      <c r="P477" s="135"/>
    </row>
    <row r="478" spans="1:16" ht="13.5" customHeight="1" thickBot="1" x14ac:dyDescent="0.3">
      <c r="A478" s="151" t="s">
        <v>377</v>
      </c>
      <c r="B478" s="152"/>
      <c r="C478" s="152"/>
      <c r="D478" s="152"/>
      <c r="E478" s="152"/>
      <c r="F478" s="152"/>
      <c r="G478" s="12"/>
      <c r="H478" s="12"/>
      <c r="I478" s="12"/>
      <c r="J478" s="12"/>
      <c r="K478" s="12"/>
      <c r="L478" s="12"/>
      <c r="M478" s="13"/>
      <c r="O478" s="138"/>
      <c r="P478" s="135"/>
    </row>
    <row r="479" spans="1:16" ht="13.5" customHeight="1" x14ac:dyDescent="0.25">
      <c r="A479" s="61">
        <v>383</v>
      </c>
      <c r="B479" s="79">
        <v>45793</v>
      </c>
      <c r="C479" s="38" t="s">
        <v>5</v>
      </c>
      <c r="D479" s="92" t="s">
        <v>472</v>
      </c>
      <c r="E479" s="38" t="s">
        <v>6</v>
      </c>
      <c r="F479" s="38" t="s">
        <v>7</v>
      </c>
      <c r="G479" s="64">
        <f>((19+26)/2)*15</f>
        <v>337.5</v>
      </c>
      <c r="H479" s="38">
        <f>6+1</f>
        <v>7</v>
      </c>
      <c r="I479" s="38">
        <v>1</v>
      </c>
      <c r="J479" s="145" t="s">
        <v>443</v>
      </c>
      <c r="K479" s="146"/>
      <c r="L479" s="147"/>
      <c r="M479" s="80"/>
      <c r="O479" s="138"/>
      <c r="P479" s="135"/>
    </row>
    <row r="480" spans="1:16" ht="13.5" customHeight="1" x14ac:dyDescent="0.25">
      <c r="A480" s="18">
        <v>384</v>
      </c>
      <c r="B480" s="19">
        <v>45793</v>
      </c>
      <c r="C480" s="128" t="s">
        <v>5</v>
      </c>
      <c r="D480" s="46" t="s">
        <v>378</v>
      </c>
      <c r="E480" s="128" t="s">
        <v>6</v>
      </c>
      <c r="F480" s="128" t="s">
        <v>7</v>
      </c>
      <c r="G480" s="44">
        <f>(3*7.5*2.5)+(1*7.5*2.5)</f>
        <v>75</v>
      </c>
      <c r="H480" s="128">
        <f>3+1</f>
        <v>4</v>
      </c>
      <c r="I480" s="128">
        <v>1</v>
      </c>
      <c r="J480" s="148"/>
      <c r="K480" s="149"/>
      <c r="L480" s="150"/>
      <c r="M480" s="21"/>
      <c r="O480" s="138"/>
      <c r="P480" s="135"/>
    </row>
    <row r="481" spans="1:16" ht="13.5" customHeight="1" x14ac:dyDescent="0.25">
      <c r="A481" s="18">
        <v>385</v>
      </c>
      <c r="B481" s="19">
        <v>45793</v>
      </c>
      <c r="C481" s="128" t="s">
        <v>5</v>
      </c>
      <c r="D481" s="46" t="s">
        <v>379</v>
      </c>
      <c r="E481" s="128" t="s">
        <v>6</v>
      </c>
      <c r="F481" s="128" t="s">
        <v>7</v>
      </c>
      <c r="G481" s="43">
        <f>(15*9.4)</f>
        <v>141</v>
      </c>
      <c r="H481" s="128">
        <f>4+1</f>
        <v>5</v>
      </c>
      <c r="I481" s="128">
        <v>1</v>
      </c>
      <c r="J481" s="148"/>
      <c r="K481" s="149"/>
      <c r="L481" s="150"/>
      <c r="M481" s="21"/>
      <c r="O481" s="138"/>
      <c r="P481" s="135"/>
    </row>
    <row r="482" spans="1:16" ht="13.5" customHeight="1" x14ac:dyDescent="0.25">
      <c r="A482" s="18">
        <v>386</v>
      </c>
      <c r="B482" s="19">
        <v>45793</v>
      </c>
      <c r="C482" s="128" t="s">
        <v>5</v>
      </c>
      <c r="D482" s="46" t="s">
        <v>380</v>
      </c>
      <c r="E482" s="128" t="s">
        <v>6</v>
      </c>
      <c r="F482" s="128" t="s">
        <v>7</v>
      </c>
      <c r="G482" s="128">
        <f>(56.8*6)+(19*7)</f>
        <v>473.79999999999995</v>
      </c>
      <c r="H482" s="128">
        <f>23+3</f>
        <v>26</v>
      </c>
      <c r="I482" s="128">
        <v>3</v>
      </c>
      <c r="J482" s="148"/>
      <c r="K482" s="149"/>
      <c r="L482" s="150"/>
      <c r="M482" s="21"/>
      <c r="O482" s="138"/>
      <c r="P482" s="135"/>
    </row>
    <row r="483" spans="1:16" ht="13.5" customHeight="1" x14ac:dyDescent="0.25">
      <c r="A483" s="18">
        <v>387</v>
      </c>
      <c r="B483" s="19">
        <v>45793</v>
      </c>
      <c r="C483" s="128" t="s">
        <v>5</v>
      </c>
      <c r="D483" s="46" t="s">
        <v>381</v>
      </c>
      <c r="E483" s="128" t="s">
        <v>6</v>
      </c>
      <c r="F483" s="128" t="s">
        <v>7</v>
      </c>
      <c r="G483" s="128">
        <f>(22.57*6)</f>
        <v>135.42000000000002</v>
      </c>
      <c r="H483" s="128">
        <f>6+1</f>
        <v>7</v>
      </c>
      <c r="I483" s="128">
        <v>1</v>
      </c>
      <c r="J483" s="148"/>
      <c r="K483" s="149"/>
      <c r="L483" s="150"/>
      <c r="M483" s="21"/>
      <c r="O483" s="138"/>
      <c r="P483" s="135"/>
    </row>
    <row r="484" spans="1:16" ht="13.5" customHeight="1" thickBot="1" x14ac:dyDescent="0.3">
      <c r="A484" s="18">
        <v>388</v>
      </c>
      <c r="B484" s="19">
        <v>45793</v>
      </c>
      <c r="C484" s="128" t="s">
        <v>5</v>
      </c>
      <c r="D484" s="46" t="s">
        <v>382</v>
      </c>
      <c r="E484" s="128" t="s">
        <v>6</v>
      </c>
      <c r="F484" s="128" t="s">
        <v>7</v>
      </c>
      <c r="G484" s="128">
        <f>(2*2.5*(5+3))+(1*3.3*(6+2))</f>
        <v>66.400000000000006</v>
      </c>
      <c r="H484" s="128">
        <f>2+1</f>
        <v>3</v>
      </c>
      <c r="I484" s="128">
        <v>1</v>
      </c>
      <c r="J484" s="153"/>
      <c r="K484" s="154"/>
      <c r="L484" s="155"/>
      <c r="M484" s="21"/>
      <c r="O484" s="138"/>
      <c r="P484" s="135"/>
    </row>
    <row r="485" spans="1:16" ht="13.5" customHeight="1" thickBot="1" x14ac:dyDescent="0.3">
      <c r="A485" s="151" t="s">
        <v>383</v>
      </c>
      <c r="B485" s="152"/>
      <c r="C485" s="152"/>
      <c r="D485" s="152"/>
      <c r="E485" s="152"/>
      <c r="F485" s="152"/>
      <c r="G485" s="12"/>
      <c r="H485" s="12"/>
      <c r="I485" s="12"/>
      <c r="J485" s="12"/>
      <c r="K485" s="12"/>
      <c r="L485" s="12"/>
      <c r="M485" s="13"/>
      <c r="O485" s="138"/>
      <c r="P485" s="135"/>
    </row>
    <row r="486" spans="1:16" ht="13.5" customHeight="1" x14ac:dyDescent="0.25">
      <c r="A486" s="14">
        <v>389</v>
      </c>
      <c r="B486" s="15">
        <v>45793</v>
      </c>
      <c r="C486" s="16" t="s">
        <v>5</v>
      </c>
      <c r="D486" s="45" t="s">
        <v>384</v>
      </c>
      <c r="E486" s="16" t="s">
        <v>6</v>
      </c>
      <c r="F486" s="16" t="s">
        <v>7</v>
      </c>
      <c r="G486" s="41">
        <f>(10*7.5*2.5)+(2*7.5*2.5)</f>
        <v>225</v>
      </c>
      <c r="H486" s="16">
        <f>10+2</f>
        <v>12</v>
      </c>
      <c r="I486" s="16">
        <v>2</v>
      </c>
      <c r="J486" s="145" t="s">
        <v>443</v>
      </c>
      <c r="K486" s="146"/>
      <c r="L486" s="147"/>
      <c r="M486" s="17"/>
      <c r="O486" s="138"/>
      <c r="P486" s="135"/>
    </row>
    <row r="487" spans="1:16" ht="13.5" customHeight="1" thickBot="1" x14ac:dyDescent="0.3">
      <c r="A487" s="22">
        <v>390</v>
      </c>
      <c r="B487" s="23">
        <v>45793</v>
      </c>
      <c r="C487" s="24" t="s">
        <v>5</v>
      </c>
      <c r="D487" s="103" t="s">
        <v>152</v>
      </c>
      <c r="E487" s="24" t="s">
        <v>6</v>
      </c>
      <c r="F487" s="24" t="s">
        <v>7</v>
      </c>
      <c r="G487" s="55">
        <f>(13*8)+(55*5)</f>
        <v>379</v>
      </c>
      <c r="H487" s="24">
        <f>8+2</f>
        <v>10</v>
      </c>
      <c r="I487" s="24">
        <v>2</v>
      </c>
      <c r="J487" s="148"/>
      <c r="K487" s="149"/>
      <c r="L487" s="150"/>
      <c r="M487" s="35"/>
      <c r="O487" s="138"/>
      <c r="P487" s="135"/>
    </row>
    <row r="488" spans="1:16" ht="13.5" customHeight="1" thickBot="1" x14ac:dyDescent="0.3">
      <c r="A488" s="151" t="s">
        <v>438</v>
      </c>
      <c r="B488" s="152"/>
      <c r="C488" s="152"/>
      <c r="D488" s="152"/>
      <c r="E488" s="152"/>
      <c r="F488" s="152"/>
      <c r="G488" s="12"/>
      <c r="H488" s="12"/>
      <c r="I488" s="12"/>
      <c r="J488" s="12"/>
      <c r="K488" s="12"/>
      <c r="L488" s="12"/>
      <c r="M488" s="13"/>
      <c r="O488" s="138"/>
      <c r="P488" s="135"/>
    </row>
    <row r="489" spans="1:16" ht="13.5" customHeight="1" x14ac:dyDescent="0.25">
      <c r="A489" s="14">
        <v>391</v>
      </c>
      <c r="B489" s="15">
        <v>45796</v>
      </c>
      <c r="C489" s="16" t="s">
        <v>5</v>
      </c>
      <c r="D489" s="45" t="s">
        <v>471</v>
      </c>
      <c r="E489" s="16" t="s">
        <v>6</v>
      </c>
      <c r="F489" s="16" t="s">
        <v>7</v>
      </c>
      <c r="G489" s="16">
        <f>(19*10)+((4.5+6)/2)</f>
        <v>195.25</v>
      </c>
      <c r="H489" s="16">
        <f>4+1</f>
        <v>5</v>
      </c>
      <c r="I489" s="16">
        <v>1</v>
      </c>
      <c r="J489" s="145" t="s">
        <v>443</v>
      </c>
      <c r="K489" s="146"/>
      <c r="L489" s="147"/>
      <c r="M489" s="17"/>
      <c r="O489" s="138"/>
      <c r="P489" s="135"/>
    </row>
    <row r="490" spans="1:16" ht="13.5" customHeight="1" thickBot="1" x14ac:dyDescent="0.3">
      <c r="A490" s="32">
        <v>392</v>
      </c>
      <c r="B490" s="33">
        <v>45796</v>
      </c>
      <c r="C490" s="34" t="s">
        <v>5</v>
      </c>
      <c r="D490" s="105" t="s">
        <v>137</v>
      </c>
      <c r="E490" s="34" t="s">
        <v>6</v>
      </c>
      <c r="F490" s="34" t="s">
        <v>7</v>
      </c>
      <c r="G490" s="67">
        <f>(29.2*10)</f>
        <v>292</v>
      </c>
      <c r="H490" s="34">
        <f>8+1</f>
        <v>9</v>
      </c>
      <c r="I490" s="34">
        <v>1</v>
      </c>
      <c r="J490" s="148"/>
      <c r="K490" s="149"/>
      <c r="L490" s="150"/>
      <c r="M490" s="35"/>
      <c r="O490" s="138"/>
      <c r="P490" s="135"/>
    </row>
    <row r="491" spans="1:16" ht="13.5" customHeight="1" thickBot="1" x14ac:dyDescent="0.3">
      <c r="A491" s="151" t="s">
        <v>385</v>
      </c>
      <c r="B491" s="152"/>
      <c r="C491" s="152"/>
      <c r="D491" s="152"/>
      <c r="E491" s="152"/>
      <c r="F491" s="152"/>
      <c r="G491" s="12"/>
      <c r="H491" s="12"/>
      <c r="I491" s="12"/>
      <c r="J491" s="12"/>
      <c r="K491" s="12"/>
      <c r="L491" s="12"/>
      <c r="M491" s="13"/>
      <c r="O491" s="138"/>
      <c r="P491" s="135"/>
    </row>
    <row r="492" spans="1:16" ht="13.5" customHeight="1" x14ac:dyDescent="0.25">
      <c r="A492" s="14">
        <v>393</v>
      </c>
      <c r="B492" s="15">
        <v>45796</v>
      </c>
      <c r="C492" s="16" t="s">
        <v>5</v>
      </c>
      <c r="D492" s="45" t="s">
        <v>386</v>
      </c>
      <c r="E492" s="16" t="s">
        <v>6</v>
      </c>
      <c r="F492" s="16" t="s">
        <v>7</v>
      </c>
      <c r="G492" s="16">
        <f>(7*3.3*4.5)+(1*3.6*4.5)</f>
        <v>120.14999999999999</v>
      </c>
      <c r="H492" s="16">
        <f>7+1</f>
        <v>8</v>
      </c>
      <c r="I492" s="16">
        <v>1</v>
      </c>
      <c r="J492" s="145" t="s">
        <v>443</v>
      </c>
      <c r="K492" s="146"/>
      <c r="L492" s="147"/>
      <c r="M492" s="17"/>
      <c r="O492" s="138"/>
      <c r="P492" s="135"/>
    </row>
    <row r="493" spans="1:16" ht="13.5" customHeight="1" x14ac:dyDescent="0.25">
      <c r="A493" s="18">
        <v>394</v>
      </c>
      <c r="B493" s="19">
        <v>45796</v>
      </c>
      <c r="C493" s="128" t="s">
        <v>5</v>
      </c>
      <c r="D493" s="46" t="s">
        <v>387</v>
      </c>
      <c r="E493" s="128" t="s">
        <v>6</v>
      </c>
      <c r="F493" s="128" t="s">
        <v>7</v>
      </c>
      <c r="G493" s="43">
        <f>(20.6*2.5)</f>
        <v>51.5</v>
      </c>
      <c r="H493" s="128">
        <f>1+1</f>
        <v>2</v>
      </c>
      <c r="I493" s="128">
        <v>1</v>
      </c>
      <c r="J493" s="148"/>
      <c r="K493" s="149"/>
      <c r="L493" s="150"/>
      <c r="M493" s="21"/>
      <c r="O493" s="138"/>
      <c r="P493" s="135"/>
    </row>
    <row r="494" spans="1:16" ht="13.5" customHeight="1" x14ac:dyDescent="0.25">
      <c r="A494" s="18">
        <v>395</v>
      </c>
      <c r="B494" s="19">
        <v>45796</v>
      </c>
      <c r="C494" s="128" t="s">
        <v>5</v>
      </c>
      <c r="D494" s="46" t="s">
        <v>388</v>
      </c>
      <c r="E494" s="128" t="s">
        <v>6</v>
      </c>
      <c r="F494" s="128" t="s">
        <v>7</v>
      </c>
      <c r="G494" s="128">
        <f>(35*2.5)</f>
        <v>87.5</v>
      </c>
      <c r="H494" s="128">
        <f>3+1</f>
        <v>4</v>
      </c>
      <c r="I494" s="128">
        <v>1</v>
      </c>
      <c r="J494" s="148"/>
      <c r="K494" s="149"/>
      <c r="L494" s="150"/>
      <c r="M494" s="21"/>
      <c r="O494" s="138"/>
      <c r="P494" s="135"/>
    </row>
    <row r="495" spans="1:16" ht="13.5" customHeight="1" thickBot="1" x14ac:dyDescent="0.3">
      <c r="A495" s="95">
        <v>396</v>
      </c>
      <c r="B495" s="96">
        <v>45796</v>
      </c>
      <c r="C495" s="97" t="s">
        <v>5</v>
      </c>
      <c r="D495" s="113" t="s">
        <v>389</v>
      </c>
      <c r="E495" s="97" t="s">
        <v>6</v>
      </c>
      <c r="F495" s="97" t="s">
        <v>7</v>
      </c>
      <c r="G495" s="97">
        <f>(49.8*5.3)</f>
        <v>263.94</v>
      </c>
      <c r="H495" s="97">
        <f>14+2</f>
        <v>16</v>
      </c>
      <c r="I495" s="97">
        <v>2</v>
      </c>
      <c r="J495" s="153"/>
      <c r="K495" s="154"/>
      <c r="L495" s="155"/>
      <c r="M495" s="98"/>
      <c r="O495" s="139"/>
      <c r="P495" s="136"/>
    </row>
    <row r="496" spans="1:16" ht="15.75" thickBot="1" x14ac:dyDescent="0.3">
      <c r="G496" s="141">
        <f>SUM(G9:G495)</f>
        <v>97703.914589333319</v>
      </c>
      <c r="H496" s="142">
        <f t="shared" ref="H496:I496" si="0">SUM(H9:H495)</f>
        <v>4497</v>
      </c>
      <c r="I496" s="143">
        <f t="shared" si="0"/>
        <v>628</v>
      </c>
      <c r="J496" s="140"/>
      <c r="K496" s="140"/>
      <c r="L496" s="140"/>
      <c r="M496" s="140"/>
      <c r="N496" s="140"/>
      <c r="O496" s="144">
        <f t="shared" ref="O496" si="1">SUM(O9:O495)</f>
        <v>0</v>
      </c>
      <c r="P496" s="132">
        <f t="shared" ref="P496" si="2">SUM(P9:P495)</f>
        <v>0</v>
      </c>
    </row>
  </sheetData>
  <mergeCells count="204">
    <mergeCell ref="A1:M1"/>
    <mergeCell ref="A2:M2"/>
    <mergeCell ref="A4:B6"/>
    <mergeCell ref="C4:D4"/>
    <mergeCell ref="E4:E6"/>
    <mergeCell ref="F4:F6"/>
    <mergeCell ref="G4:G6"/>
    <mergeCell ref="H4:I6"/>
    <mergeCell ref="J4:L4"/>
    <mergeCell ref="M4:M6"/>
    <mergeCell ref="A8:F8"/>
    <mergeCell ref="J9:L12"/>
    <mergeCell ref="A13:F13"/>
    <mergeCell ref="J14:L21"/>
    <mergeCell ref="A22:F22"/>
    <mergeCell ref="J23:L23"/>
    <mergeCell ref="N4:N6"/>
    <mergeCell ref="O4:O6"/>
    <mergeCell ref="P4:P6"/>
    <mergeCell ref="C5:C6"/>
    <mergeCell ref="D5:D6"/>
    <mergeCell ref="J5:J6"/>
    <mergeCell ref="K5:K6"/>
    <mergeCell ref="L5:L6"/>
    <mergeCell ref="A46:F46"/>
    <mergeCell ref="J47:L47"/>
    <mergeCell ref="A48:F48"/>
    <mergeCell ref="J49:L49"/>
    <mergeCell ref="A50:F50"/>
    <mergeCell ref="J51:L51"/>
    <mergeCell ref="A24:F24"/>
    <mergeCell ref="J25:L29"/>
    <mergeCell ref="A30:F30"/>
    <mergeCell ref="J31:L32"/>
    <mergeCell ref="A33:F33"/>
    <mergeCell ref="J34:L45"/>
    <mergeCell ref="A60:F60"/>
    <mergeCell ref="J61:L63"/>
    <mergeCell ref="A64:F64"/>
    <mergeCell ref="J65:L67"/>
    <mergeCell ref="A68:F68"/>
    <mergeCell ref="J69:L75"/>
    <mergeCell ref="A52:F52"/>
    <mergeCell ref="J53:L53"/>
    <mergeCell ref="A54:F54"/>
    <mergeCell ref="J55:L55"/>
    <mergeCell ref="A56:F56"/>
    <mergeCell ref="J57:L59"/>
    <mergeCell ref="A93:F93"/>
    <mergeCell ref="J94:L96"/>
    <mergeCell ref="A97:F97"/>
    <mergeCell ref="J97:L97"/>
    <mergeCell ref="J98:L98"/>
    <mergeCell ref="A99:F99"/>
    <mergeCell ref="J99:L99"/>
    <mergeCell ref="A76:F76"/>
    <mergeCell ref="J77:L80"/>
    <mergeCell ref="A81:F81"/>
    <mergeCell ref="J82:L82"/>
    <mergeCell ref="A83:F83"/>
    <mergeCell ref="J84:L92"/>
    <mergeCell ref="J110:L112"/>
    <mergeCell ref="A113:F113"/>
    <mergeCell ref="J114:L114"/>
    <mergeCell ref="A115:F115"/>
    <mergeCell ref="J116:L137"/>
    <mergeCell ref="A138:F138"/>
    <mergeCell ref="J100:L100"/>
    <mergeCell ref="A101:F101"/>
    <mergeCell ref="J102:L103"/>
    <mergeCell ref="A104:F104"/>
    <mergeCell ref="J105:L108"/>
    <mergeCell ref="A109:F109"/>
    <mergeCell ref="J150:L150"/>
    <mergeCell ref="A151:F151"/>
    <mergeCell ref="J152:L152"/>
    <mergeCell ref="A153:F153"/>
    <mergeCell ref="J154:L155"/>
    <mergeCell ref="A156:F156"/>
    <mergeCell ref="J139:L141"/>
    <mergeCell ref="A142:F142"/>
    <mergeCell ref="J143:L145"/>
    <mergeCell ref="A146:F146"/>
    <mergeCell ref="J147:L148"/>
    <mergeCell ref="A149:F149"/>
    <mergeCell ref="J167:L167"/>
    <mergeCell ref="A168:F168"/>
    <mergeCell ref="J169:L171"/>
    <mergeCell ref="A172:F172"/>
    <mergeCell ref="J173:L197"/>
    <mergeCell ref="A198:F198"/>
    <mergeCell ref="J157:L157"/>
    <mergeCell ref="A158:F158"/>
    <mergeCell ref="J159:L159"/>
    <mergeCell ref="A160:F160"/>
    <mergeCell ref="J161:L165"/>
    <mergeCell ref="A166:F166"/>
    <mergeCell ref="J222:L222"/>
    <mergeCell ref="A223:E223"/>
    <mergeCell ref="J224:L243"/>
    <mergeCell ref="A244:F244"/>
    <mergeCell ref="J245:L245"/>
    <mergeCell ref="A246:F246"/>
    <mergeCell ref="J199:L207"/>
    <mergeCell ref="A208:F208"/>
    <mergeCell ref="J209:L213"/>
    <mergeCell ref="A214:F214"/>
    <mergeCell ref="J215:L220"/>
    <mergeCell ref="A221:F221"/>
    <mergeCell ref="J257:L267"/>
    <mergeCell ref="A268:F268"/>
    <mergeCell ref="J269:L269"/>
    <mergeCell ref="A270:F270"/>
    <mergeCell ref="J271:L273"/>
    <mergeCell ref="A274:F274"/>
    <mergeCell ref="J247:L247"/>
    <mergeCell ref="A248:F248"/>
    <mergeCell ref="J249:L252"/>
    <mergeCell ref="A253:D253"/>
    <mergeCell ref="J254:L255"/>
    <mergeCell ref="A256:F256"/>
    <mergeCell ref="J283:L285"/>
    <mergeCell ref="A286:F286"/>
    <mergeCell ref="J287:L287"/>
    <mergeCell ref="A288:E288"/>
    <mergeCell ref="J289:L297"/>
    <mergeCell ref="A298:E298"/>
    <mergeCell ref="J275:L275"/>
    <mergeCell ref="A276:E276"/>
    <mergeCell ref="J277:L278"/>
    <mergeCell ref="A279:F279"/>
    <mergeCell ref="J280:L281"/>
    <mergeCell ref="A282:F282"/>
    <mergeCell ref="J317:L325"/>
    <mergeCell ref="A326:F326"/>
    <mergeCell ref="J327:L328"/>
    <mergeCell ref="A329:F329"/>
    <mergeCell ref="J330:L330"/>
    <mergeCell ref="A331:F331"/>
    <mergeCell ref="J299:L310"/>
    <mergeCell ref="A311:F311"/>
    <mergeCell ref="J312:L313"/>
    <mergeCell ref="A314:F314"/>
    <mergeCell ref="J315:L315"/>
    <mergeCell ref="A316:E316"/>
    <mergeCell ref="J347:L352"/>
    <mergeCell ref="A353:F353"/>
    <mergeCell ref="J354:L357"/>
    <mergeCell ref="A358:F358"/>
    <mergeCell ref="J359:L359"/>
    <mergeCell ref="A360:F360"/>
    <mergeCell ref="J332:L337"/>
    <mergeCell ref="A338:F338"/>
    <mergeCell ref="J339:L341"/>
    <mergeCell ref="A342:F342"/>
    <mergeCell ref="J343:L345"/>
    <mergeCell ref="A346:E346"/>
    <mergeCell ref="J378:L390"/>
    <mergeCell ref="A391:E391"/>
    <mergeCell ref="J392:L398"/>
    <mergeCell ref="A399:F399"/>
    <mergeCell ref="J400:L400"/>
    <mergeCell ref="A401:E401"/>
    <mergeCell ref="J361:L363"/>
    <mergeCell ref="A364:F364"/>
    <mergeCell ref="J365:L368"/>
    <mergeCell ref="A369:E369"/>
    <mergeCell ref="J370:L376"/>
    <mergeCell ref="A377:E377"/>
    <mergeCell ref="J432:L433"/>
    <mergeCell ref="A434:F434"/>
    <mergeCell ref="J435:L442"/>
    <mergeCell ref="A443:F443"/>
    <mergeCell ref="J444:L444"/>
    <mergeCell ref="A445:F445"/>
    <mergeCell ref="J402:L417"/>
    <mergeCell ref="A418:E418"/>
    <mergeCell ref="J419:L426"/>
    <mergeCell ref="A427:F427"/>
    <mergeCell ref="J428:L430"/>
    <mergeCell ref="A431:F431"/>
    <mergeCell ref="J458:L464"/>
    <mergeCell ref="A465:F465"/>
    <mergeCell ref="J466:L467"/>
    <mergeCell ref="A468:F468"/>
    <mergeCell ref="J469:L469"/>
    <mergeCell ref="A470:F470"/>
    <mergeCell ref="J446:L447"/>
    <mergeCell ref="A448:F448"/>
    <mergeCell ref="J449:L452"/>
    <mergeCell ref="A453:F453"/>
    <mergeCell ref="J454:L456"/>
    <mergeCell ref="A457:F457"/>
    <mergeCell ref="J486:L487"/>
    <mergeCell ref="A488:F488"/>
    <mergeCell ref="J489:L490"/>
    <mergeCell ref="A491:F491"/>
    <mergeCell ref="J492:L495"/>
    <mergeCell ref="J471:L472"/>
    <mergeCell ref="A473:F473"/>
    <mergeCell ref="J474:L477"/>
    <mergeCell ref="A478:F478"/>
    <mergeCell ref="J479:L484"/>
    <mergeCell ref="A485:F485"/>
  </mergeCells>
  <pageMargins left="0.70866141732283472" right="0.31496062992125984" top="0.35433070866141736" bottom="0.35433070866141736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5"/>
  <sheetViews>
    <sheetView tabSelected="1" workbookViewId="0">
      <selection activeCell="R6" sqref="R6"/>
    </sheetView>
  </sheetViews>
  <sheetFormatPr defaultRowHeight="15" x14ac:dyDescent="0.25"/>
  <cols>
    <col min="1" max="1" width="3.42578125" style="6" customWidth="1"/>
    <col min="2" max="2" width="8.42578125" style="6" customWidth="1"/>
    <col min="3" max="3" width="10.28515625" style="6" customWidth="1"/>
    <col min="4" max="4" width="39.28515625" style="114" customWidth="1"/>
    <col min="5" max="5" width="10.140625" style="100" customWidth="1"/>
    <col min="6" max="6" width="9.42578125" style="6" customWidth="1"/>
    <col min="7" max="7" width="9.140625" style="6"/>
    <col min="8" max="8" width="7.5703125" style="6" customWidth="1"/>
    <col min="9" max="9" width="6" style="99" customWidth="1"/>
    <col min="10" max="10" width="11" style="6" customWidth="1"/>
    <col min="11" max="11" width="8" style="6" customWidth="1"/>
    <col min="12" max="12" width="9.42578125" style="6" customWidth="1"/>
    <col min="13" max="13" width="9.7109375" style="6" customWidth="1"/>
    <col min="14" max="14" width="1.42578125" customWidth="1"/>
  </cols>
  <sheetData>
    <row r="1" spans="1:22" ht="18.75" x14ac:dyDescent="0.25">
      <c r="A1" s="189" t="s">
        <v>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22" ht="44.25" customHeight="1" x14ac:dyDescent="0.25">
      <c r="A2" s="190" t="s">
        <v>486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22" ht="11.25" customHeight="1" thickBot="1" x14ac:dyDescent="0.35">
      <c r="A3" s="3"/>
      <c r="B3" s="2"/>
      <c r="C3" s="2"/>
      <c r="D3" s="101"/>
      <c r="E3" s="2"/>
      <c r="F3" s="2"/>
      <c r="G3" s="2"/>
      <c r="H3" s="2"/>
      <c r="I3" s="2"/>
      <c r="J3" s="4"/>
      <c r="K3" s="5"/>
      <c r="L3" s="4"/>
      <c r="M3" s="1"/>
    </row>
    <row r="4" spans="1:22" ht="12.75" customHeight="1" x14ac:dyDescent="0.25">
      <c r="A4" s="191" t="s">
        <v>4</v>
      </c>
      <c r="B4" s="192"/>
      <c r="C4" s="195" t="s">
        <v>0</v>
      </c>
      <c r="D4" s="195"/>
      <c r="E4" s="196" t="s">
        <v>474</v>
      </c>
      <c r="F4" s="196" t="s">
        <v>481</v>
      </c>
      <c r="G4" s="196" t="s">
        <v>475</v>
      </c>
      <c r="H4" s="191" t="s">
        <v>482</v>
      </c>
      <c r="I4" s="192"/>
      <c r="J4" s="199" t="s">
        <v>1</v>
      </c>
      <c r="K4" s="200"/>
      <c r="L4" s="201"/>
      <c r="M4" s="196" t="s">
        <v>485</v>
      </c>
      <c r="N4" s="178"/>
      <c r="O4" s="133"/>
      <c r="P4" s="133"/>
      <c r="Q4" s="133"/>
      <c r="R4" s="133"/>
      <c r="S4" s="133"/>
      <c r="T4" s="133"/>
      <c r="U4" s="133"/>
      <c r="V4" s="133"/>
    </row>
    <row r="5" spans="1:22" x14ac:dyDescent="0.25">
      <c r="A5" s="193"/>
      <c r="B5" s="188"/>
      <c r="C5" s="182" t="s">
        <v>479</v>
      </c>
      <c r="D5" s="184" t="s">
        <v>494</v>
      </c>
      <c r="E5" s="197"/>
      <c r="F5" s="197"/>
      <c r="G5" s="197"/>
      <c r="H5" s="193"/>
      <c r="I5" s="188"/>
      <c r="J5" s="182" t="s">
        <v>483</v>
      </c>
      <c r="K5" s="186" t="s">
        <v>2</v>
      </c>
      <c r="L5" s="188" t="s">
        <v>484</v>
      </c>
      <c r="M5" s="197"/>
      <c r="N5" s="178"/>
      <c r="O5" s="133"/>
      <c r="P5" s="133"/>
      <c r="Q5" s="133"/>
      <c r="R5" s="133"/>
      <c r="S5" s="133"/>
      <c r="T5" s="133"/>
      <c r="U5" s="133"/>
      <c r="V5" s="133"/>
    </row>
    <row r="6" spans="1:22" ht="103.5" customHeight="1" thickBot="1" x14ac:dyDescent="0.3">
      <c r="A6" s="194"/>
      <c r="B6" s="185"/>
      <c r="C6" s="183"/>
      <c r="D6" s="185"/>
      <c r="E6" s="198"/>
      <c r="F6" s="198"/>
      <c r="G6" s="198"/>
      <c r="H6" s="194"/>
      <c r="I6" s="185"/>
      <c r="J6" s="183"/>
      <c r="K6" s="187"/>
      <c r="L6" s="185"/>
      <c r="M6" s="198"/>
      <c r="N6" s="178"/>
      <c r="O6" s="133"/>
      <c r="P6" s="133"/>
      <c r="Q6" s="133"/>
      <c r="R6" s="133"/>
      <c r="S6" s="133"/>
      <c r="T6" s="133"/>
      <c r="U6" s="133"/>
      <c r="V6" s="133"/>
    </row>
    <row r="7" spans="1:22" ht="7.5" customHeight="1" thickBot="1" x14ac:dyDescent="0.3">
      <c r="A7" s="7"/>
      <c r="B7" s="8"/>
      <c r="C7" s="8"/>
      <c r="D7" s="102"/>
      <c r="E7" s="9"/>
      <c r="F7" s="9"/>
      <c r="G7" s="9"/>
      <c r="H7" s="10"/>
      <c r="I7" s="8"/>
      <c r="J7" s="10"/>
      <c r="K7" s="10"/>
      <c r="L7" s="8"/>
      <c r="M7" s="11"/>
    </row>
    <row r="8" spans="1:22" ht="13.5" customHeight="1" thickBot="1" x14ac:dyDescent="0.3">
      <c r="A8" s="151" t="s">
        <v>401</v>
      </c>
      <c r="B8" s="152"/>
      <c r="C8" s="152"/>
      <c r="D8" s="152"/>
      <c r="E8" s="152"/>
      <c r="F8" s="152"/>
      <c r="G8" s="12"/>
      <c r="H8" s="12"/>
      <c r="I8" s="12"/>
      <c r="J8" s="12"/>
      <c r="K8" s="12"/>
      <c r="L8" s="12"/>
      <c r="M8" s="13"/>
    </row>
    <row r="9" spans="1:22" ht="13.5" customHeight="1" x14ac:dyDescent="0.25">
      <c r="A9" s="14">
        <v>1</v>
      </c>
      <c r="B9" s="15">
        <v>45699</v>
      </c>
      <c r="C9" s="16" t="s">
        <v>5</v>
      </c>
      <c r="D9" s="45" t="s">
        <v>151</v>
      </c>
      <c r="E9" s="16" t="s">
        <v>6</v>
      </c>
      <c r="F9" s="16" t="s">
        <v>7</v>
      </c>
      <c r="G9" s="16">
        <f>(4*7.5*2.5)+(1*7.5*2.5)+(2*7.5*2.5)</f>
        <v>131.25</v>
      </c>
      <c r="H9" s="16">
        <f>4+1+2</f>
        <v>7</v>
      </c>
      <c r="I9" s="16">
        <v>1</v>
      </c>
      <c r="J9" s="145" t="s">
        <v>478</v>
      </c>
      <c r="K9" s="146"/>
      <c r="L9" s="147"/>
      <c r="M9" s="17"/>
    </row>
    <row r="10" spans="1:22" ht="13.5" customHeight="1" x14ac:dyDescent="0.25">
      <c r="A10" s="18">
        <v>2</v>
      </c>
      <c r="B10" s="19">
        <v>45699</v>
      </c>
      <c r="C10" s="20" t="s">
        <v>5</v>
      </c>
      <c r="D10" s="46" t="s">
        <v>155</v>
      </c>
      <c r="E10" s="20" t="s">
        <v>6</v>
      </c>
      <c r="F10" s="20" t="s">
        <v>7</v>
      </c>
      <c r="G10" s="20">
        <f>(8*7.5*2.5)+(1*7.5*2.5)</f>
        <v>168.75</v>
      </c>
      <c r="H10" s="20">
        <f>8+1</f>
        <v>9</v>
      </c>
      <c r="I10" s="20">
        <v>1</v>
      </c>
      <c r="J10" s="148"/>
      <c r="K10" s="149"/>
      <c r="L10" s="150"/>
      <c r="M10" s="21"/>
    </row>
    <row r="11" spans="1:22" ht="13.5" customHeight="1" x14ac:dyDescent="0.25">
      <c r="A11" s="22">
        <v>3</v>
      </c>
      <c r="B11" s="23">
        <v>45699</v>
      </c>
      <c r="C11" s="24" t="s">
        <v>5</v>
      </c>
      <c r="D11" s="103" t="s">
        <v>153</v>
      </c>
      <c r="E11" s="24" t="s">
        <v>6</v>
      </c>
      <c r="F11" s="24" t="s">
        <v>7</v>
      </c>
      <c r="G11" s="24">
        <f>(7*2.5*5)+(1*3.6*6)+(7*2.5*5)+(1*3.6*6)</f>
        <v>218.2</v>
      </c>
      <c r="H11" s="24">
        <f>7+1+7+1</f>
        <v>16</v>
      </c>
      <c r="I11" s="24">
        <v>2</v>
      </c>
      <c r="J11" s="148"/>
      <c r="K11" s="149"/>
      <c r="L11" s="150"/>
      <c r="M11" s="25"/>
    </row>
    <row r="12" spans="1:22" ht="13.5" customHeight="1" thickBot="1" x14ac:dyDescent="0.3">
      <c r="A12" s="26">
        <v>4</v>
      </c>
      <c r="B12" s="27">
        <v>45699</v>
      </c>
      <c r="C12" s="28" t="s">
        <v>5</v>
      </c>
      <c r="D12" s="104" t="s">
        <v>154</v>
      </c>
      <c r="E12" s="28" t="s">
        <v>6</v>
      </c>
      <c r="F12" s="28" t="s">
        <v>7</v>
      </c>
      <c r="G12" s="29">
        <f>(4*3.2811*3.74)+(1*4*3.74)</f>
        <v>64.045255999999995</v>
      </c>
      <c r="H12" s="28">
        <f>4+1</f>
        <v>5</v>
      </c>
      <c r="I12" s="28">
        <v>1</v>
      </c>
      <c r="J12" s="148"/>
      <c r="K12" s="149"/>
      <c r="L12" s="150"/>
      <c r="M12" s="30"/>
    </row>
    <row r="13" spans="1:22" ht="13.5" customHeight="1" thickBot="1" x14ac:dyDescent="0.3">
      <c r="A13" s="151" t="s">
        <v>402</v>
      </c>
      <c r="B13" s="152"/>
      <c r="C13" s="152"/>
      <c r="D13" s="152"/>
      <c r="E13" s="152"/>
      <c r="F13" s="152"/>
      <c r="G13" s="12"/>
      <c r="H13" s="12"/>
      <c r="I13" s="12"/>
      <c r="J13" s="12"/>
      <c r="K13" s="12"/>
      <c r="L13" s="12"/>
      <c r="M13" s="13"/>
    </row>
    <row r="14" spans="1:22" ht="13.5" customHeight="1" x14ac:dyDescent="0.25">
      <c r="A14" s="14">
        <v>5</v>
      </c>
      <c r="B14" s="15">
        <v>45700</v>
      </c>
      <c r="C14" s="16" t="s">
        <v>5</v>
      </c>
      <c r="D14" s="45" t="s">
        <v>160</v>
      </c>
      <c r="E14" s="16" t="s">
        <v>6</v>
      </c>
      <c r="F14" s="16" t="s">
        <v>7</v>
      </c>
      <c r="G14" s="16">
        <f>((52+97)/2)*3</f>
        <v>223.5</v>
      </c>
      <c r="H14" s="16">
        <f>7+1</f>
        <v>8</v>
      </c>
      <c r="I14" s="16">
        <v>1</v>
      </c>
      <c r="J14" s="145" t="s">
        <v>439</v>
      </c>
      <c r="K14" s="146"/>
      <c r="L14" s="147"/>
      <c r="M14" s="17"/>
    </row>
    <row r="15" spans="1:22" ht="13.5" customHeight="1" x14ac:dyDescent="0.25">
      <c r="A15" s="18">
        <v>6</v>
      </c>
      <c r="B15" s="19">
        <v>45700</v>
      </c>
      <c r="C15" s="20" t="s">
        <v>5</v>
      </c>
      <c r="D15" s="46" t="s">
        <v>161</v>
      </c>
      <c r="E15" s="20" t="s">
        <v>6</v>
      </c>
      <c r="F15" s="20" t="s">
        <v>7</v>
      </c>
      <c r="G15" s="31">
        <f>((50+91)/2)*3</f>
        <v>211.5</v>
      </c>
      <c r="H15" s="20">
        <f>6+1</f>
        <v>7</v>
      </c>
      <c r="I15" s="20">
        <v>1</v>
      </c>
      <c r="J15" s="148"/>
      <c r="K15" s="149"/>
      <c r="L15" s="150"/>
      <c r="M15" s="21"/>
    </row>
    <row r="16" spans="1:22" ht="13.5" customHeight="1" x14ac:dyDescent="0.25">
      <c r="A16" s="18">
        <v>7</v>
      </c>
      <c r="B16" s="19">
        <v>45700</v>
      </c>
      <c r="C16" s="20" t="s">
        <v>5</v>
      </c>
      <c r="D16" s="46" t="s">
        <v>162</v>
      </c>
      <c r="E16" s="20" t="s">
        <v>6</v>
      </c>
      <c r="F16" s="20" t="s">
        <v>7</v>
      </c>
      <c r="G16" s="20">
        <f>(11*2.5*6)+(2*3.6*6)</f>
        <v>208.2</v>
      </c>
      <c r="H16" s="20">
        <f>11+2</f>
        <v>13</v>
      </c>
      <c r="I16" s="20">
        <v>2</v>
      </c>
      <c r="J16" s="148"/>
      <c r="K16" s="149"/>
      <c r="L16" s="150"/>
      <c r="M16" s="21"/>
    </row>
    <row r="17" spans="1:13" ht="13.5" customHeight="1" x14ac:dyDescent="0.25">
      <c r="A17" s="18">
        <v>8</v>
      </c>
      <c r="B17" s="19">
        <v>45700</v>
      </c>
      <c r="C17" s="20" t="s">
        <v>5</v>
      </c>
      <c r="D17" s="46" t="s">
        <v>163</v>
      </c>
      <c r="E17" s="20" t="s">
        <v>6</v>
      </c>
      <c r="F17" s="20" t="s">
        <v>7</v>
      </c>
      <c r="G17" s="20">
        <f>(12*2.5*5)+(2*3.6*6)+(7*2.5*(5+2.5))+(1*3.6*(6+1.5))+(1*2.5*(5+2.5))+(1*3.6*(6+1.5))</f>
        <v>397.2</v>
      </c>
      <c r="H17" s="20">
        <f>12+2+7+1+1+1</f>
        <v>24</v>
      </c>
      <c r="I17" s="20">
        <f>2+1+1</f>
        <v>4</v>
      </c>
      <c r="J17" s="148"/>
      <c r="K17" s="149"/>
      <c r="L17" s="150"/>
      <c r="M17" s="21"/>
    </row>
    <row r="18" spans="1:13" ht="13.5" customHeight="1" x14ac:dyDescent="0.25">
      <c r="A18" s="18">
        <v>9</v>
      </c>
      <c r="B18" s="19">
        <v>45700</v>
      </c>
      <c r="C18" s="20" t="s">
        <v>5</v>
      </c>
      <c r="D18" s="46" t="s">
        <v>456</v>
      </c>
      <c r="E18" s="20" t="s">
        <v>6</v>
      </c>
      <c r="F18" s="20" t="s">
        <v>7</v>
      </c>
      <c r="G18" s="20">
        <f>22*8.22</f>
        <v>180.84</v>
      </c>
      <c r="H18" s="20">
        <f>6+1</f>
        <v>7</v>
      </c>
      <c r="I18" s="20">
        <v>1</v>
      </c>
      <c r="J18" s="148"/>
      <c r="K18" s="149"/>
      <c r="L18" s="150"/>
      <c r="M18" s="21"/>
    </row>
    <row r="19" spans="1:13" ht="13.5" customHeight="1" x14ac:dyDescent="0.25">
      <c r="A19" s="18">
        <v>10</v>
      </c>
      <c r="B19" s="19">
        <v>45700</v>
      </c>
      <c r="C19" s="20" t="s">
        <v>5</v>
      </c>
      <c r="D19" s="46" t="s">
        <v>164</v>
      </c>
      <c r="E19" s="20" t="s">
        <v>6</v>
      </c>
      <c r="F19" s="20" t="s">
        <v>7</v>
      </c>
      <c r="G19" s="20">
        <f>13.5*5.5</f>
        <v>74.25</v>
      </c>
      <c r="H19" s="20">
        <f>3+1</f>
        <v>4</v>
      </c>
      <c r="I19" s="20">
        <v>1</v>
      </c>
      <c r="J19" s="148"/>
      <c r="K19" s="149"/>
      <c r="L19" s="150"/>
      <c r="M19" s="21"/>
    </row>
    <row r="20" spans="1:13" ht="13.5" customHeight="1" x14ac:dyDescent="0.25">
      <c r="A20" s="18">
        <v>11</v>
      </c>
      <c r="B20" s="19">
        <v>45700</v>
      </c>
      <c r="C20" s="20" t="s">
        <v>5</v>
      </c>
      <c r="D20" s="46" t="s">
        <v>165</v>
      </c>
      <c r="E20" s="20" t="s">
        <v>6</v>
      </c>
      <c r="F20" s="20" t="s">
        <v>7</v>
      </c>
      <c r="G20" s="20">
        <f>19*2.66</f>
        <v>50.540000000000006</v>
      </c>
      <c r="H20" s="20">
        <f>1+1</f>
        <v>2</v>
      </c>
      <c r="I20" s="20">
        <v>1</v>
      </c>
      <c r="J20" s="148"/>
      <c r="K20" s="149"/>
      <c r="L20" s="150"/>
      <c r="M20" s="21"/>
    </row>
    <row r="21" spans="1:13" ht="13.5" customHeight="1" thickBot="1" x14ac:dyDescent="0.3">
      <c r="A21" s="18">
        <v>12</v>
      </c>
      <c r="B21" s="19">
        <v>45700</v>
      </c>
      <c r="C21" s="20" t="s">
        <v>5</v>
      </c>
      <c r="D21" s="46" t="s">
        <v>166</v>
      </c>
      <c r="E21" s="20" t="s">
        <v>6</v>
      </c>
      <c r="F21" s="20" t="s">
        <v>7</v>
      </c>
      <c r="G21" s="20">
        <f>15.5*2.6</f>
        <v>40.300000000000004</v>
      </c>
      <c r="H21" s="20">
        <f>1+1</f>
        <v>2</v>
      </c>
      <c r="I21" s="20">
        <v>1</v>
      </c>
      <c r="J21" s="148"/>
      <c r="K21" s="149"/>
      <c r="L21" s="150"/>
      <c r="M21" s="21"/>
    </row>
    <row r="22" spans="1:13" ht="13.5" customHeight="1" thickBot="1" x14ac:dyDescent="0.3">
      <c r="A22" s="151" t="s">
        <v>403</v>
      </c>
      <c r="B22" s="152"/>
      <c r="C22" s="152"/>
      <c r="D22" s="152"/>
      <c r="E22" s="152"/>
      <c r="F22" s="152"/>
      <c r="G22" s="12"/>
      <c r="H22" s="12"/>
      <c r="I22" s="12"/>
      <c r="J22" s="12"/>
      <c r="K22" s="12"/>
      <c r="L22" s="12"/>
      <c r="M22" s="13"/>
    </row>
    <row r="23" spans="1:13" ht="21.75" customHeight="1" thickBot="1" x14ac:dyDescent="0.3">
      <c r="A23" s="14">
        <v>13</v>
      </c>
      <c r="B23" s="15">
        <v>45700</v>
      </c>
      <c r="C23" s="16" t="s">
        <v>5</v>
      </c>
      <c r="D23" s="45" t="s">
        <v>95</v>
      </c>
      <c r="E23" s="16" t="s">
        <v>6</v>
      </c>
      <c r="F23" s="16" t="s">
        <v>7</v>
      </c>
      <c r="G23" s="16">
        <f>23.5*3.5</f>
        <v>82.25</v>
      </c>
      <c r="H23" s="16">
        <v>3</v>
      </c>
      <c r="I23" s="16">
        <v>0</v>
      </c>
      <c r="J23" s="145" t="s">
        <v>439</v>
      </c>
      <c r="K23" s="146"/>
      <c r="L23" s="147"/>
      <c r="M23" s="17"/>
    </row>
    <row r="24" spans="1:13" ht="13.5" customHeight="1" thickBot="1" x14ac:dyDescent="0.3">
      <c r="A24" s="151" t="s">
        <v>404</v>
      </c>
      <c r="B24" s="152"/>
      <c r="C24" s="152"/>
      <c r="D24" s="152"/>
      <c r="E24" s="152"/>
      <c r="F24" s="152"/>
      <c r="G24" s="12"/>
      <c r="H24" s="12"/>
      <c r="I24" s="12"/>
      <c r="J24" s="12"/>
      <c r="K24" s="12"/>
      <c r="L24" s="12"/>
      <c r="M24" s="13"/>
    </row>
    <row r="25" spans="1:13" ht="13.5" customHeight="1" x14ac:dyDescent="0.25">
      <c r="A25" s="14">
        <v>14</v>
      </c>
      <c r="B25" s="15">
        <v>45700</v>
      </c>
      <c r="C25" s="16" t="s">
        <v>5</v>
      </c>
      <c r="D25" s="45" t="s">
        <v>96</v>
      </c>
      <c r="E25" s="16" t="s">
        <v>6</v>
      </c>
      <c r="F25" s="16" t="s">
        <v>7</v>
      </c>
      <c r="G25" s="16">
        <f>(16*72)+(4.5*43)+(4.5*46)</f>
        <v>1552.5</v>
      </c>
      <c r="H25" s="16">
        <f>19+2</f>
        <v>21</v>
      </c>
      <c r="I25" s="16">
        <v>2</v>
      </c>
      <c r="J25" s="145" t="s">
        <v>439</v>
      </c>
      <c r="K25" s="146"/>
      <c r="L25" s="147"/>
      <c r="M25" s="17"/>
    </row>
    <row r="26" spans="1:13" ht="13.5" customHeight="1" x14ac:dyDescent="0.25">
      <c r="A26" s="18">
        <v>15</v>
      </c>
      <c r="B26" s="19">
        <v>45700</v>
      </c>
      <c r="C26" s="20" t="s">
        <v>5</v>
      </c>
      <c r="D26" s="46" t="s">
        <v>97</v>
      </c>
      <c r="E26" s="20" t="s">
        <v>6</v>
      </c>
      <c r="F26" s="20" t="s">
        <v>7</v>
      </c>
      <c r="G26" s="31">
        <f>25*3.5</f>
        <v>87.5</v>
      </c>
      <c r="H26" s="20">
        <f>2+1</f>
        <v>3</v>
      </c>
      <c r="I26" s="20">
        <v>1</v>
      </c>
      <c r="J26" s="148"/>
      <c r="K26" s="149"/>
      <c r="L26" s="150"/>
      <c r="M26" s="21"/>
    </row>
    <row r="27" spans="1:13" ht="13.5" customHeight="1" x14ac:dyDescent="0.25">
      <c r="A27" s="18">
        <v>16</v>
      </c>
      <c r="B27" s="19">
        <v>45700</v>
      </c>
      <c r="C27" s="20" t="s">
        <v>5</v>
      </c>
      <c r="D27" s="46" t="s">
        <v>98</v>
      </c>
      <c r="E27" s="20" t="s">
        <v>6</v>
      </c>
      <c r="F27" s="20" t="s">
        <v>7</v>
      </c>
      <c r="G27" s="20">
        <f>(6*2.5*5.1)+(1*3.6*5.1)</f>
        <v>94.86</v>
      </c>
      <c r="H27" s="20">
        <f>6+1</f>
        <v>7</v>
      </c>
      <c r="I27" s="20">
        <v>1</v>
      </c>
      <c r="J27" s="148"/>
      <c r="K27" s="149"/>
      <c r="L27" s="150"/>
      <c r="M27" s="21"/>
    </row>
    <row r="28" spans="1:13" ht="13.5" customHeight="1" x14ac:dyDescent="0.25">
      <c r="A28" s="18">
        <v>17</v>
      </c>
      <c r="B28" s="19">
        <v>45700</v>
      </c>
      <c r="C28" s="20" t="s">
        <v>5</v>
      </c>
      <c r="D28" s="46" t="s">
        <v>99</v>
      </c>
      <c r="E28" s="20" t="s">
        <v>6</v>
      </c>
      <c r="F28" s="20" t="s">
        <v>7</v>
      </c>
      <c r="G28" s="20">
        <f>(7*2.5*5)+(1*3.5*5)</f>
        <v>105</v>
      </c>
      <c r="H28" s="20">
        <f>7+1</f>
        <v>8</v>
      </c>
      <c r="I28" s="20">
        <v>1</v>
      </c>
      <c r="J28" s="148"/>
      <c r="K28" s="149"/>
      <c r="L28" s="150"/>
      <c r="M28" s="21"/>
    </row>
    <row r="29" spans="1:13" ht="13.5" customHeight="1" thickBot="1" x14ac:dyDescent="0.3">
      <c r="A29" s="32">
        <v>18</v>
      </c>
      <c r="B29" s="33">
        <v>45700</v>
      </c>
      <c r="C29" s="34" t="s">
        <v>5</v>
      </c>
      <c r="D29" s="105" t="s">
        <v>100</v>
      </c>
      <c r="E29" s="34" t="s">
        <v>6</v>
      </c>
      <c r="F29" s="34" t="s">
        <v>7</v>
      </c>
      <c r="G29" s="34">
        <f>(13.5*3)+(12*3)</f>
        <v>76.5</v>
      </c>
      <c r="H29" s="34">
        <f>1+1</f>
        <v>2</v>
      </c>
      <c r="I29" s="34">
        <v>1</v>
      </c>
      <c r="J29" s="148"/>
      <c r="K29" s="149"/>
      <c r="L29" s="150"/>
      <c r="M29" s="35"/>
    </row>
    <row r="30" spans="1:13" ht="13.5" customHeight="1" thickBot="1" x14ac:dyDescent="0.3">
      <c r="A30" s="151" t="s">
        <v>148</v>
      </c>
      <c r="B30" s="152"/>
      <c r="C30" s="152"/>
      <c r="D30" s="152"/>
      <c r="E30" s="152"/>
      <c r="F30" s="152"/>
      <c r="G30" s="12"/>
      <c r="H30" s="12"/>
      <c r="I30" s="12"/>
      <c r="J30" s="12"/>
      <c r="K30" s="12"/>
      <c r="L30" s="12"/>
      <c r="M30" s="13"/>
    </row>
    <row r="31" spans="1:13" ht="13.5" customHeight="1" x14ac:dyDescent="0.25">
      <c r="A31" s="14">
        <v>19</v>
      </c>
      <c r="B31" s="15">
        <v>45701</v>
      </c>
      <c r="C31" s="16" t="s">
        <v>5</v>
      </c>
      <c r="D31" s="45" t="s">
        <v>149</v>
      </c>
      <c r="E31" s="16" t="s">
        <v>6</v>
      </c>
      <c r="F31" s="16" t="s">
        <v>7</v>
      </c>
      <c r="G31" s="16">
        <f>(20*2.5*5)+(2*3.6*6)</f>
        <v>293.2</v>
      </c>
      <c r="H31" s="16">
        <f>20+2</f>
        <v>22</v>
      </c>
      <c r="I31" s="16">
        <v>2</v>
      </c>
      <c r="J31" s="145" t="s">
        <v>443</v>
      </c>
      <c r="K31" s="146"/>
      <c r="L31" s="147"/>
      <c r="M31" s="17"/>
    </row>
    <row r="32" spans="1:13" ht="13.5" customHeight="1" thickBot="1" x14ac:dyDescent="0.3">
      <c r="A32" s="18">
        <v>20</v>
      </c>
      <c r="B32" s="19">
        <v>45701</v>
      </c>
      <c r="C32" s="20" t="s">
        <v>5</v>
      </c>
      <c r="D32" s="46" t="s">
        <v>150</v>
      </c>
      <c r="E32" s="20" t="s">
        <v>6</v>
      </c>
      <c r="F32" s="20" t="s">
        <v>7</v>
      </c>
      <c r="G32" s="31">
        <f>(20*2.5*5)+(2*3.6*6)</f>
        <v>293.2</v>
      </c>
      <c r="H32" s="20">
        <f>20+2</f>
        <v>22</v>
      </c>
      <c r="I32" s="20">
        <v>2</v>
      </c>
      <c r="J32" s="148"/>
      <c r="K32" s="149"/>
      <c r="L32" s="150"/>
      <c r="M32" s="21"/>
    </row>
    <row r="33" spans="1:13" ht="13.5" customHeight="1" thickBot="1" x14ac:dyDescent="0.3">
      <c r="A33" s="151" t="s">
        <v>405</v>
      </c>
      <c r="B33" s="152"/>
      <c r="C33" s="152"/>
      <c r="D33" s="152"/>
      <c r="E33" s="152"/>
      <c r="F33" s="152"/>
      <c r="G33" s="12"/>
      <c r="H33" s="12"/>
      <c r="I33" s="12"/>
      <c r="J33" s="12"/>
      <c r="K33" s="12"/>
      <c r="L33" s="12"/>
      <c r="M33" s="13"/>
    </row>
    <row r="34" spans="1:13" ht="13.5" customHeight="1" x14ac:dyDescent="0.25">
      <c r="A34" s="14">
        <v>21</v>
      </c>
      <c r="B34" s="15">
        <v>45701</v>
      </c>
      <c r="C34" s="16" t="s">
        <v>5</v>
      </c>
      <c r="D34" s="45" t="s">
        <v>58</v>
      </c>
      <c r="E34" s="16" t="s">
        <v>6</v>
      </c>
      <c r="F34" s="16" t="s">
        <v>7</v>
      </c>
      <c r="G34" s="16">
        <f>8*35</f>
        <v>280</v>
      </c>
      <c r="H34" s="16">
        <f>9+1</f>
        <v>10</v>
      </c>
      <c r="I34" s="16">
        <v>1</v>
      </c>
      <c r="J34" s="145" t="s">
        <v>443</v>
      </c>
      <c r="K34" s="146"/>
      <c r="L34" s="147"/>
      <c r="M34" s="17"/>
    </row>
    <row r="35" spans="1:13" ht="13.5" customHeight="1" x14ac:dyDescent="0.25">
      <c r="A35" s="18">
        <v>22</v>
      </c>
      <c r="B35" s="19">
        <v>45701</v>
      </c>
      <c r="C35" s="20" t="s">
        <v>5</v>
      </c>
      <c r="D35" s="46" t="s">
        <v>59</v>
      </c>
      <c r="E35" s="20" t="s">
        <v>6</v>
      </c>
      <c r="F35" s="20" t="s">
        <v>7</v>
      </c>
      <c r="G35" s="31">
        <f>11*((22+23+24+29+36)/5)</f>
        <v>294.8</v>
      </c>
      <c r="H35" s="20">
        <f>6+1</f>
        <v>7</v>
      </c>
      <c r="I35" s="20">
        <v>1</v>
      </c>
      <c r="J35" s="148"/>
      <c r="K35" s="149"/>
      <c r="L35" s="150"/>
      <c r="M35" s="21"/>
    </row>
    <row r="36" spans="1:13" ht="13.5" customHeight="1" x14ac:dyDescent="0.25">
      <c r="A36" s="18">
        <v>23</v>
      </c>
      <c r="B36" s="19">
        <v>45701</v>
      </c>
      <c r="C36" s="20" t="s">
        <v>5</v>
      </c>
      <c r="D36" s="46" t="s">
        <v>61</v>
      </c>
      <c r="E36" s="20" t="s">
        <v>6</v>
      </c>
      <c r="F36" s="20" t="s">
        <v>7</v>
      </c>
      <c r="G36" s="20">
        <f>25*5</f>
        <v>125</v>
      </c>
      <c r="H36" s="20">
        <f>5+1</f>
        <v>6</v>
      </c>
      <c r="I36" s="20">
        <v>1</v>
      </c>
      <c r="J36" s="148"/>
      <c r="K36" s="149"/>
      <c r="L36" s="150"/>
      <c r="M36" s="21"/>
    </row>
    <row r="37" spans="1:13" ht="13.5" customHeight="1" x14ac:dyDescent="0.25">
      <c r="A37" s="18">
        <v>24</v>
      </c>
      <c r="B37" s="19">
        <v>45701</v>
      </c>
      <c r="C37" s="20" t="s">
        <v>5</v>
      </c>
      <c r="D37" s="46" t="s">
        <v>62</v>
      </c>
      <c r="E37" s="20" t="s">
        <v>6</v>
      </c>
      <c r="F37" s="20" t="s">
        <v>7</v>
      </c>
      <c r="G37" s="20">
        <f>((150+158)/2)*8.5</f>
        <v>1309</v>
      </c>
      <c r="H37" s="20">
        <f>44+6</f>
        <v>50</v>
      </c>
      <c r="I37" s="20">
        <v>6</v>
      </c>
      <c r="J37" s="148"/>
      <c r="K37" s="149"/>
      <c r="L37" s="150"/>
      <c r="M37" s="21"/>
    </row>
    <row r="38" spans="1:13" ht="13.5" customHeight="1" x14ac:dyDescent="0.25">
      <c r="A38" s="18">
        <v>25</v>
      </c>
      <c r="B38" s="19">
        <v>45701</v>
      </c>
      <c r="C38" s="20" t="s">
        <v>5</v>
      </c>
      <c r="D38" s="46" t="s">
        <v>63</v>
      </c>
      <c r="E38" s="20" t="s">
        <v>6</v>
      </c>
      <c r="F38" s="20" t="s">
        <v>7</v>
      </c>
      <c r="G38" s="20">
        <f>6*40.5</f>
        <v>243</v>
      </c>
      <c r="H38" s="20">
        <f>11+2</f>
        <v>13</v>
      </c>
      <c r="I38" s="20">
        <v>2</v>
      </c>
      <c r="J38" s="148"/>
      <c r="K38" s="149"/>
      <c r="L38" s="150"/>
      <c r="M38" s="21"/>
    </row>
    <row r="39" spans="1:13" ht="13.5" customHeight="1" x14ac:dyDescent="0.25">
      <c r="A39" s="18">
        <v>26</v>
      </c>
      <c r="B39" s="19">
        <v>45701</v>
      </c>
      <c r="C39" s="20" t="s">
        <v>5</v>
      </c>
      <c r="D39" s="46" t="s">
        <v>64</v>
      </c>
      <c r="E39" s="20" t="s">
        <v>6</v>
      </c>
      <c r="F39" s="20" t="s">
        <v>7</v>
      </c>
      <c r="G39" s="20">
        <f>6.5*73</f>
        <v>474.5</v>
      </c>
      <c r="H39" s="20">
        <f>9+1</f>
        <v>10</v>
      </c>
      <c r="I39" s="20">
        <v>1</v>
      </c>
      <c r="J39" s="148"/>
      <c r="K39" s="149"/>
      <c r="L39" s="150"/>
      <c r="M39" s="21"/>
    </row>
    <row r="40" spans="1:13" ht="13.5" customHeight="1" x14ac:dyDescent="0.25">
      <c r="A40" s="18">
        <v>27</v>
      </c>
      <c r="B40" s="19">
        <v>45701</v>
      </c>
      <c r="C40" s="20" t="s">
        <v>5</v>
      </c>
      <c r="D40" s="46" t="s">
        <v>65</v>
      </c>
      <c r="E40" s="20" t="s">
        <v>6</v>
      </c>
      <c r="F40" s="20" t="s">
        <v>7</v>
      </c>
      <c r="G40" s="20">
        <f>7*65</f>
        <v>455</v>
      </c>
      <c r="H40" s="20">
        <f>18+2</f>
        <v>20</v>
      </c>
      <c r="I40" s="20">
        <v>2</v>
      </c>
      <c r="J40" s="148"/>
      <c r="K40" s="149"/>
      <c r="L40" s="150"/>
      <c r="M40" s="21"/>
    </row>
    <row r="41" spans="1:13" ht="13.5" customHeight="1" x14ac:dyDescent="0.25">
      <c r="A41" s="18">
        <v>28</v>
      </c>
      <c r="B41" s="19">
        <v>45701</v>
      </c>
      <c r="C41" s="20" t="s">
        <v>5</v>
      </c>
      <c r="D41" s="46" t="s">
        <v>441</v>
      </c>
      <c r="E41" s="20" t="s">
        <v>6</v>
      </c>
      <c r="F41" s="20" t="s">
        <v>7</v>
      </c>
      <c r="G41" s="20">
        <f>262*7</f>
        <v>1834</v>
      </c>
      <c r="H41" s="20">
        <f>24+3+18+3+4+22+2</f>
        <v>76</v>
      </c>
      <c r="I41" s="20">
        <v>8</v>
      </c>
      <c r="J41" s="148"/>
      <c r="K41" s="149"/>
      <c r="L41" s="150"/>
      <c r="M41" s="21"/>
    </row>
    <row r="42" spans="1:13" ht="13.5" customHeight="1" x14ac:dyDescent="0.25">
      <c r="A42" s="18">
        <v>29</v>
      </c>
      <c r="B42" s="19">
        <v>45701</v>
      </c>
      <c r="C42" s="20" t="s">
        <v>5</v>
      </c>
      <c r="D42" s="46" t="s">
        <v>442</v>
      </c>
      <c r="E42" s="20" t="s">
        <v>6</v>
      </c>
      <c r="F42" s="20" t="s">
        <v>7</v>
      </c>
      <c r="G42" s="20">
        <f>132*7.4</f>
        <v>976.80000000000007</v>
      </c>
      <c r="H42" s="20">
        <f>32+4</f>
        <v>36</v>
      </c>
      <c r="I42" s="20">
        <v>4</v>
      </c>
      <c r="J42" s="148"/>
      <c r="K42" s="149"/>
      <c r="L42" s="150"/>
      <c r="M42" s="21"/>
    </row>
    <row r="43" spans="1:13" ht="13.5" customHeight="1" x14ac:dyDescent="0.25">
      <c r="A43" s="18">
        <v>30</v>
      </c>
      <c r="B43" s="19">
        <v>45701</v>
      </c>
      <c r="C43" s="20" t="s">
        <v>5</v>
      </c>
      <c r="D43" s="46" t="s">
        <v>117</v>
      </c>
      <c r="E43" s="20" t="s">
        <v>6</v>
      </c>
      <c r="F43" s="20" t="s">
        <v>7</v>
      </c>
      <c r="G43" s="20">
        <f>95*5.1</f>
        <v>484.49999999999994</v>
      </c>
      <c r="H43" s="20">
        <f>22+3</f>
        <v>25</v>
      </c>
      <c r="I43" s="20">
        <v>3</v>
      </c>
      <c r="J43" s="148"/>
      <c r="K43" s="149"/>
      <c r="L43" s="150"/>
      <c r="M43" s="21"/>
    </row>
    <row r="44" spans="1:13" ht="13.5" customHeight="1" x14ac:dyDescent="0.25">
      <c r="A44" s="18">
        <v>31</v>
      </c>
      <c r="B44" s="19">
        <v>45701</v>
      </c>
      <c r="C44" s="20" t="s">
        <v>5</v>
      </c>
      <c r="D44" s="46" t="s">
        <v>60</v>
      </c>
      <c r="E44" s="20" t="s">
        <v>6</v>
      </c>
      <c r="F44" s="20" t="s">
        <v>7</v>
      </c>
      <c r="G44" s="20">
        <f>30*2.5</f>
        <v>75</v>
      </c>
      <c r="H44" s="20">
        <f>3+1</f>
        <v>4</v>
      </c>
      <c r="I44" s="20">
        <v>1</v>
      </c>
      <c r="J44" s="148"/>
      <c r="K44" s="149"/>
      <c r="L44" s="150"/>
      <c r="M44" s="21"/>
    </row>
    <row r="45" spans="1:13" ht="13.5" customHeight="1" thickBot="1" x14ac:dyDescent="0.3">
      <c r="A45" s="18">
        <v>32</v>
      </c>
      <c r="B45" s="33">
        <v>45701</v>
      </c>
      <c r="C45" s="34" t="s">
        <v>5</v>
      </c>
      <c r="D45" s="105" t="s">
        <v>66</v>
      </c>
      <c r="E45" s="34" t="s">
        <v>6</v>
      </c>
      <c r="F45" s="34" t="s">
        <v>7</v>
      </c>
      <c r="G45" s="34">
        <f>27*4.3</f>
        <v>116.1</v>
      </c>
      <c r="H45" s="34">
        <f>5+1</f>
        <v>6</v>
      </c>
      <c r="I45" s="34">
        <v>1</v>
      </c>
      <c r="J45" s="148"/>
      <c r="K45" s="149"/>
      <c r="L45" s="150"/>
      <c r="M45" s="35"/>
    </row>
    <row r="46" spans="1:13" ht="13.5" customHeight="1" thickBot="1" x14ac:dyDescent="0.3">
      <c r="A46" s="151" t="s">
        <v>406</v>
      </c>
      <c r="B46" s="152"/>
      <c r="C46" s="152"/>
      <c r="D46" s="152"/>
      <c r="E46" s="152"/>
      <c r="F46" s="152"/>
      <c r="G46" s="36"/>
      <c r="H46" s="36"/>
      <c r="I46" s="36"/>
      <c r="J46" s="36"/>
      <c r="K46" s="36"/>
      <c r="L46" s="36"/>
      <c r="M46" s="37"/>
    </row>
    <row r="47" spans="1:13" ht="21.75" customHeight="1" thickBot="1" x14ac:dyDescent="0.3">
      <c r="A47" s="14">
        <v>33</v>
      </c>
      <c r="B47" s="15">
        <v>45702</v>
      </c>
      <c r="C47" s="16" t="s">
        <v>5</v>
      </c>
      <c r="D47" s="45" t="s">
        <v>167</v>
      </c>
      <c r="E47" s="16" t="s">
        <v>6</v>
      </c>
      <c r="F47" s="16" t="s">
        <v>7</v>
      </c>
      <c r="G47" s="16">
        <f>(11*7.5*2.3)+(1*7.5*2.3)</f>
        <v>206.99999999999997</v>
      </c>
      <c r="H47" s="16">
        <f>10+2</f>
        <v>12</v>
      </c>
      <c r="I47" s="16">
        <v>2</v>
      </c>
      <c r="J47" s="145" t="s">
        <v>443</v>
      </c>
      <c r="K47" s="146"/>
      <c r="L47" s="147"/>
      <c r="M47" s="17"/>
    </row>
    <row r="48" spans="1:13" ht="13.5" customHeight="1" thickBot="1" x14ac:dyDescent="0.3">
      <c r="A48" s="151" t="s">
        <v>142</v>
      </c>
      <c r="B48" s="152"/>
      <c r="C48" s="152"/>
      <c r="D48" s="152"/>
      <c r="E48" s="152"/>
      <c r="F48" s="152"/>
      <c r="G48" s="36"/>
      <c r="H48" s="36"/>
      <c r="I48" s="36"/>
      <c r="J48" s="36"/>
      <c r="K48" s="36"/>
      <c r="L48" s="36"/>
      <c r="M48" s="37"/>
    </row>
    <row r="49" spans="1:13" ht="21.75" customHeight="1" thickBot="1" x14ac:dyDescent="0.3">
      <c r="A49" s="14">
        <v>34</v>
      </c>
      <c r="B49" s="15">
        <v>45702</v>
      </c>
      <c r="C49" s="16" t="s">
        <v>5</v>
      </c>
      <c r="D49" s="45" t="s">
        <v>73</v>
      </c>
      <c r="E49" s="16" t="s">
        <v>6</v>
      </c>
      <c r="F49" s="16" t="s">
        <v>7</v>
      </c>
      <c r="G49" s="16">
        <f>(6*2.5*5)+(1*3.6*6)</f>
        <v>96.6</v>
      </c>
      <c r="H49" s="16">
        <f>6+1</f>
        <v>7</v>
      </c>
      <c r="I49" s="16">
        <v>1</v>
      </c>
      <c r="J49" s="145" t="s">
        <v>443</v>
      </c>
      <c r="K49" s="146"/>
      <c r="L49" s="147"/>
      <c r="M49" s="17"/>
    </row>
    <row r="50" spans="1:13" ht="13.5" customHeight="1" thickBot="1" x14ac:dyDescent="0.3">
      <c r="A50" s="151" t="s">
        <v>138</v>
      </c>
      <c r="B50" s="152"/>
      <c r="C50" s="152"/>
      <c r="D50" s="152"/>
      <c r="E50" s="152"/>
      <c r="F50" s="152"/>
      <c r="G50" s="36"/>
      <c r="H50" s="36"/>
      <c r="I50" s="36"/>
      <c r="J50" s="36"/>
      <c r="K50" s="36"/>
      <c r="L50" s="36"/>
      <c r="M50" s="37"/>
    </row>
    <row r="51" spans="1:13" ht="21.75" customHeight="1" thickBot="1" x14ac:dyDescent="0.3">
      <c r="A51" s="14">
        <v>35</v>
      </c>
      <c r="B51" s="15">
        <v>45702</v>
      </c>
      <c r="C51" s="16" t="s">
        <v>5</v>
      </c>
      <c r="D51" s="45" t="s">
        <v>139</v>
      </c>
      <c r="E51" s="16" t="s">
        <v>6</v>
      </c>
      <c r="F51" s="16" t="s">
        <v>7</v>
      </c>
      <c r="G51" s="16">
        <f>((24+28)/2)*9.5</f>
        <v>247</v>
      </c>
      <c r="H51" s="16">
        <f>7+1</f>
        <v>8</v>
      </c>
      <c r="I51" s="16">
        <v>1</v>
      </c>
      <c r="J51" s="145" t="s">
        <v>443</v>
      </c>
      <c r="K51" s="146"/>
      <c r="L51" s="147"/>
      <c r="M51" s="17"/>
    </row>
    <row r="52" spans="1:13" ht="13.5" customHeight="1" thickBot="1" x14ac:dyDescent="0.3">
      <c r="A52" s="151" t="s">
        <v>407</v>
      </c>
      <c r="B52" s="152"/>
      <c r="C52" s="152"/>
      <c r="D52" s="152"/>
      <c r="E52" s="152"/>
      <c r="F52" s="152"/>
      <c r="G52" s="36"/>
      <c r="H52" s="36"/>
      <c r="I52" s="36"/>
      <c r="J52" s="36"/>
      <c r="K52" s="36"/>
      <c r="L52" s="36"/>
      <c r="M52" s="37"/>
    </row>
    <row r="53" spans="1:13" ht="21.75" customHeight="1" thickBot="1" x14ac:dyDescent="0.3">
      <c r="A53" s="14">
        <v>36</v>
      </c>
      <c r="B53" s="15">
        <v>45702</v>
      </c>
      <c r="C53" s="16" t="s">
        <v>5</v>
      </c>
      <c r="D53" s="45" t="s">
        <v>168</v>
      </c>
      <c r="E53" s="16" t="s">
        <v>6</v>
      </c>
      <c r="F53" s="16" t="s">
        <v>7</v>
      </c>
      <c r="G53" s="16">
        <f>(3*2.5*5.5)+(1*3.6*6)</f>
        <v>62.85</v>
      </c>
      <c r="H53" s="16">
        <f>3+1</f>
        <v>4</v>
      </c>
      <c r="I53" s="16">
        <v>1</v>
      </c>
      <c r="J53" s="145" t="s">
        <v>446</v>
      </c>
      <c r="K53" s="146"/>
      <c r="L53" s="147"/>
      <c r="M53" s="17"/>
    </row>
    <row r="54" spans="1:13" ht="13.5" customHeight="1" thickBot="1" x14ac:dyDescent="0.3">
      <c r="A54" s="151" t="s">
        <v>408</v>
      </c>
      <c r="B54" s="152"/>
      <c r="C54" s="152"/>
      <c r="D54" s="152"/>
      <c r="E54" s="152"/>
      <c r="F54" s="152"/>
      <c r="G54" s="36"/>
      <c r="H54" s="36"/>
      <c r="I54" s="36"/>
      <c r="J54" s="36"/>
      <c r="K54" s="36"/>
      <c r="L54" s="36"/>
      <c r="M54" s="37"/>
    </row>
    <row r="55" spans="1:13" ht="21.75" customHeight="1" thickBot="1" x14ac:dyDescent="0.3">
      <c r="A55" s="14">
        <v>37</v>
      </c>
      <c r="B55" s="15">
        <v>45705</v>
      </c>
      <c r="C55" s="16" t="s">
        <v>5</v>
      </c>
      <c r="D55" s="45" t="s">
        <v>169</v>
      </c>
      <c r="E55" s="16" t="s">
        <v>6</v>
      </c>
      <c r="F55" s="16" t="s">
        <v>7</v>
      </c>
      <c r="G55" s="38">
        <f>(51*16.5)+(11.5*2)+(8*2)</f>
        <v>880.5</v>
      </c>
      <c r="H55" s="16">
        <f>15+4+14</f>
        <v>33</v>
      </c>
      <c r="I55" s="16">
        <v>4</v>
      </c>
      <c r="J55" s="145" t="s">
        <v>443</v>
      </c>
      <c r="K55" s="172"/>
      <c r="L55" s="173"/>
      <c r="M55" s="17"/>
    </row>
    <row r="56" spans="1:13" ht="13.5" customHeight="1" thickBot="1" x14ac:dyDescent="0.3">
      <c r="A56" s="151" t="s">
        <v>409</v>
      </c>
      <c r="B56" s="152"/>
      <c r="C56" s="152"/>
      <c r="D56" s="152"/>
      <c r="E56" s="152"/>
      <c r="F56" s="152"/>
      <c r="G56" s="12"/>
      <c r="H56" s="12"/>
      <c r="I56" s="12"/>
      <c r="J56" s="12"/>
      <c r="K56" s="12"/>
      <c r="L56" s="12"/>
      <c r="M56" s="13"/>
    </row>
    <row r="57" spans="1:13" ht="13.5" customHeight="1" x14ac:dyDescent="0.25">
      <c r="A57" s="14">
        <v>38</v>
      </c>
      <c r="B57" s="15">
        <v>45705</v>
      </c>
      <c r="C57" s="16" t="s">
        <v>5</v>
      </c>
      <c r="D57" s="45" t="s">
        <v>67</v>
      </c>
      <c r="E57" s="16" t="s">
        <v>6</v>
      </c>
      <c r="F57" s="16" t="s">
        <v>7</v>
      </c>
      <c r="G57" s="16">
        <f>2*7.5*2.5</f>
        <v>37.5</v>
      </c>
      <c r="H57" s="16">
        <f>1+1</f>
        <v>2</v>
      </c>
      <c r="I57" s="16">
        <v>1</v>
      </c>
      <c r="J57" s="145" t="s">
        <v>443</v>
      </c>
      <c r="K57" s="146"/>
      <c r="L57" s="147"/>
      <c r="M57" s="17"/>
    </row>
    <row r="58" spans="1:13" ht="13.5" customHeight="1" x14ac:dyDescent="0.25">
      <c r="A58" s="18">
        <v>39</v>
      </c>
      <c r="B58" s="19">
        <v>45705</v>
      </c>
      <c r="C58" s="20" t="s">
        <v>5</v>
      </c>
      <c r="D58" s="46" t="s">
        <v>68</v>
      </c>
      <c r="E58" s="20" t="s">
        <v>6</v>
      </c>
      <c r="F58" s="20" t="s">
        <v>7</v>
      </c>
      <c r="G58" s="31">
        <f>(7*2.5*5)+(1*3.5*5)</f>
        <v>105</v>
      </c>
      <c r="H58" s="20">
        <f>7+1</f>
        <v>8</v>
      </c>
      <c r="I58" s="20">
        <v>1</v>
      </c>
      <c r="J58" s="148"/>
      <c r="K58" s="149"/>
      <c r="L58" s="150"/>
      <c r="M58" s="21"/>
    </row>
    <row r="59" spans="1:13" ht="13.5" customHeight="1" thickBot="1" x14ac:dyDescent="0.3">
      <c r="A59" s="32">
        <v>40</v>
      </c>
      <c r="B59" s="19">
        <v>45705</v>
      </c>
      <c r="C59" s="20" t="s">
        <v>5</v>
      </c>
      <c r="D59" s="46" t="s">
        <v>91</v>
      </c>
      <c r="E59" s="20" t="s">
        <v>6</v>
      </c>
      <c r="F59" s="20" t="s">
        <v>7</v>
      </c>
      <c r="G59" s="20">
        <f>(56*4)</f>
        <v>224</v>
      </c>
      <c r="H59" s="20">
        <f>5+1</f>
        <v>6</v>
      </c>
      <c r="I59" s="20">
        <v>1</v>
      </c>
      <c r="J59" s="153"/>
      <c r="K59" s="154"/>
      <c r="L59" s="155"/>
      <c r="M59" s="35"/>
    </row>
    <row r="60" spans="1:13" ht="13.5" customHeight="1" thickBot="1" x14ac:dyDescent="0.3">
      <c r="A60" s="151" t="s">
        <v>445</v>
      </c>
      <c r="B60" s="152"/>
      <c r="C60" s="152"/>
      <c r="D60" s="152"/>
      <c r="E60" s="152"/>
      <c r="F60" s="152"/>
      <c r="G60" s="12"/>
      <c r="H60" s="12"/>
      <c r="I60" s="12"/>
      <c r="J60" s="12"/>
      <c r="K60" s="12"/>
      <c r="L60" s="12"/>
      <c r="M60" s="13"/>
    </row>
    <row r="61" spans="1:13" ht="13.5" customHeight="1" x14ac:dyDescent="0.25">
      <c r="A61" s="14">
        <v>41</v>
      </c>
      <c r="B61" s="15">
        <v>45705</v>
      </c>
      <c r="C61" s="16" t="s">
        <v>5</v>
      </c>
      <c r="D61" s="45" t="s">
        <v>143</v>
      </c>
      <c r="E61" s="16" t="s">
        <v>6</v>
      </c>
      <c r="F61" s="16" t="s">
        <v>7</v>
      </c>
      <c r="G61" s="38">
        <f>(3*2.5*5)+(1*3.6*6)+(8*2.5*5)+(1*3.6*6)</f>
        <v>180.7</v>
      </c>
      <c r="H61" s="16">
        <f>3+1+8+1</f>
        <v>13</v>
      </c>
      <c r="I61" s="16">
        <f>1+1</f>
        <v>2</v>
      </c>
      <c r="J61" s="145" t="s">
        <v>443</v>
      </c>
      <c r="K61" s="146"/>
      <c r="L61" s="147"/>
      <c r="M61" s="17"/>
    </row>
    <row r="62" spans="1:13" ht="13.5" customHeight="1" x14ac:dyDescent="0.25">
      <c r="A62" s="32">
        <v>42</v>
      </c>
      <c r="B62" s="19">
        <v>45705</v>
      </c>
      <c r="C62" s="20" t="s">
        <v>5</v>
      </c>
      <c r="D62" s="46" t="s">
        <v>144</v>
      </c>
      <c r="E62" s="20" t="s">
        <v>6</v>
      </c>
      <c r="F62" s="20" t="s">
        <v>7</v>
      </c>
      <c r="G62" s="24">
        <f>(2*3*5)+(1*3.6*6)</f>
        <v>51.6</v>
      </c>
      <c r="H62" s="20">
        <f>2+1</f>
        <v>3</v>
      </c>
      <c r="I62" s="20">
        <v>1</v>
      </c>
      <c r="J62" s="148"/>
      <c r="K62" s="149"/>
      <c r="L62" s="150"/>
      <c r="M62" s="39"/>
    </row>
    <row r="63" spans="1:13" ht="13.5" customHeight="1" thickBot="1" x14ac:dyDescent="0.3">
      <c r="A63" s="32">
        <v>43</v>
      </c>
      <c r="B63" s="19">
        <v>45705</v>
      </c>
      <c r="C63" s="20" t="s">
        <v>5</v>
      </c>
      <c r="D63" s="46" t="s">
        <v>144</v>
      </c>
      <c r="E63" s="20" t="s">
        <v>6</v>
      </c>
      <c r="F63" s="20" t="s">
        <v>7</v>
      </c>
      <c r="G63" s="40">
        <f>(2*3*5)+(1*4*6)</f>
        <v>54</v>
      </c>
      <c r="H63" s="20">
        <f>2+1</f>
        <v>3</v>
      </c>
      <c r="I63" s="20">
        <v>1</v>
      </c>
      <c r="J63" s="153"/>
      <c r="K63" s="154"/>
      <c r="L63" s="155"/>
      <c r="M63" s="35"/>
    </row>
    <row r="64" spans="1:13" ht="13.5" customHeight="1" thickBot="1" x14ac:dyDescent="0.3">
      <c r="A64" s="151" t="s">
        <v>410</v>
      </c>
      <c r="B64" s="152"/>
      <c r="C64" s="152"/>
      <c r="D64" s="152"/>
      <c r="E64" s="152"/>
      <c r="F64" s="152"/>
      <c r="G64" s="12"/>
      <c r="H64" s="12"/>
      <c r="I64" s="12"/>
      <c r="J64" s="12"/>
      <c r="K64" s="12"/>
      <c r="L64" s="12"/>
      <c r="M64" s="13"/>
    </row>
    <row r="65" spans="1:13" ht="13.5" customHeight="1" x14ac:dyDescent="0.25">
      <c r="A65" s="14">
        <v>44</v>
      </c>
      <c r="B65" s="15">
        <v>45706</v>
      </c>
      <c r="C65" s="16" t="s">
        <v>5</v>
      </c>
      <c r="D65" s="45" t="s">
        <v>170</v>
      </c>
      <c r="E65" s="16" t="s">
        <v>6</v>
      </c>
      <c r="F65" s="16" t="s">
        <v>7</v>
      </c>
      <c r="G65" s="41">
        <f>(68*5)</f>
        <v>340</v>
      </c>
      <c r="H65" s="16">
        <f>19+3</f>
        <v>22</v>
      </c>
      <c r="I65" s="16">
        <v>3</v>
      </c>
      <c r="J65" s="145" t="s">
        <v>443</v>
      </c>
      <c r="K65" s="146"/>
      <c r="L65" s="147"/>
      <c r="M65" s="17"/>
    </row>
    <row r="66" spans="1:13" ht="13.5" customHeight="1" x14ac:dyDescent="0.25">
      <c r="A66" s="42">
        <v>45</v>
      </c>
      <c r="B66" s="19">
        <v>45706</v>
      </c>
      <c r="C66" s="20" t="s">
        <v>5</v>
      </c>
      <c r="D66" s="46" t="s">
        <v>172</v>
      </c>
      <c r="E66" s="20" t="s">
        <v>6</v>
      </c>
      <c r="F66" s="20" t="s">
        <v>7</v>
      </c>
      <c r="G66" s="20">
        <f>(7*2.5*6)+(1*3.6*6)</f>
        <v>126.6</v>
      </c>
      <c r="H66" s="20">
        <f>7+1</f>
        <v>8</v>
      </c>
      <c r="I66" s="20">
        <v>1</v>
      </c>
      <c r="J66" s="148"/>
      <c r="K66" s="149"/>
      <c r="L66" s="150"/>
      <c r="M66" s="35"/>
    </row>
    <row r="67" spans="1:13" ht="13.5" customHeight="1" thickBot="1" x14ac:dyDescent="0.3">
      <c r="A67" s="32">
        <v>46</v>
      </c>
      <c r="B67" s="19">
        <v>45706</v>
      </c>
      <c r="C67" s="20" t="s">
        <v>5</v>
      </c>
      <c r="D67" s="46" t="s">
        <v>171</v>
      </c>
      <c r="E67" s="20" t="s">
        <v>6</v>
      </c>
      <c r="F67" s="20" t="s">
        <v>7</v>
      </c>
      <c r="G67" s="20">
        <f>(7*2.5*5)+(1*3.6*6)</f>
        <v>109.1</v>
      </c>
      <c r="H67" s="20">
        <f>7+1</f>
        <v>8</v>
      </c>
      <c r="I67" s="20">
        <v>1</v>
      </c>
      <c r="J67" s="153"/>
      <c r="K67" s="154"/>
      <c r="L67" s="155"/>
      <c r="M67" s="35"/>
    </row>
    <row r="68" spans="1:13" ht="13.5" customHeight="1" thickBot="1" x14ac:dyDescent="0.3">
      <c r="A68" s="151" t="s">
        <v>411</v>
      </c>
      <c r="B68" s="152"/>
      <c r="C68" s="152"/>
      <c r="D68" s="152"/>
      <c r="E68" s="152"/>
      <c r="F68" s="152"/>
      <c r="G68" s="12"/>
      <c r="H68" s="12"/>
      <c r="I68" s="12"/>
      <c r="J68" s="12"/>
      <c r="K68" s="12"/>
      <c r="L68" s="12"/>
      <c r="M68" s="13"/>
    </row>
    <row r="69" spans="1:13" ht="13.5" customHeight="1" x14ac:dyDescent="0.25">
      <c r="A69" s="14">
        <v>47</v>
      </c>
      <c r="B69" s="15">
        <v>45706</v>
      </c>
      <c r="C69" s="16" t="s">
        <v>5</v>
      </c>
      <c r="D69" s="45" t="s">
        <v>173</v>
      </c>
      <c r="E69" s="16" t="s">
        <v>6</v>
      </c>
      <c r="F69" s="16" t="s">
        <v>7</v>
      </c>
      <c r="G69" s="16">
        <f>36.5*4.3</f>
        <v>156.94999999999999</v>
      </c>
      <c r="H69" s="16">
        <f>8+1</f>
        <v>9</v>
      </c>
      <c r="I69" s="16">
        <v>1</v>
      </c>
      <c r="J69" s="145" t="s">
        <v>443</v>
      </c>
      <c r="K69" s="146"/>
      <c r="L69" s="147"/>
      <c r="M69" s="17"/>
    </row>
    <row r="70" spans="1:13" ht="13.5" customHeight="1" x14ac:dyDescent="0.25">
      <c r="A70" s="18">
        <v>48</v>
      </c>
      <c r="B70" s="19">
        <v>45706</v>
      </c>
      <c r="C70" s="20" t="s">
        <v>5</v>
      </c>
      <c r="D70" s="46" t="s">
        <v>174</v>
      </c>
      <c r="E70" s="20" t="s">
        <v>6</v>
      </c>
      <c r="F70" s="20" t="s">
        <v>7</v>
      </c>
      <c r="G70" s="43">
        <f>(22*5)+(25*5)</f>
        <v>235</v>
      </c>
      <c r="H70" s="20">
        <f>7+1+6+1</f>
        <v>15</v>
      </c>
      <c r="I70" s="20">
        <f>1+1</f>
        <v>2</v>
      </c>
      <c r="J70" s="148"/>
      <c r="K70" s="149"/>
      <c r="L70" s="150"/>
      <c r="M70" s="21"/>
    </row>
    <row r="71" spans="1:13" ht="13.5" customHeight="1" x14ac:dyDescent="0.25">
      <c r="A71" s="18">
        <v>49</v>
      </c>
      <c r="B71" s="19">
        <v>45706</v>
      </c>
      <c r="C71" s="20" t="s">
        <v>5</v>
      </c>
      <c r="D71" s="46" t="s">
        <v>175</v>
      </c>
      <c r="E71" s="20" t="s">
        <v>6</v>
      </c>
      <c r="F71" s="20" t="s">
        <v>7</v>
      </c>
      <c r="G71" s="20">
        <f>6*7.5*2.5</f>
        <v>112.5</v>
      </c>
      <c r="H71" s="20">
        <f>4+1</f>
        <v>5</v>
      </c>
      <c r="I71" s="20">
        <v>1</v>
      </c>
      <c r="J71" s="148"/>
      <c r="K71" s="149"/>
      <c r="L71" s="150"/>
      <c r="M71" s="21"/>
    </row>
    <row r="72" spans="1:13" ht="13.5" customHeight="1" x14ac:dyDescent="0.25">
      <c r="A72" s="18">
        <v>50</v>
      </c>
      <c r="B72" s="19">
        <v>45706</v>
      </c>
      <c r="C72" s="20" t="s">
        <v>5</v>
      </c>
      <c r="D72" s="46" t="s">
        <v>176</v>
      </c>
      <c r="E72" s="20" t="s">
        <v>6</v>
      </c>
      <c r="F72" s="20" t="s">
        <v>7</v>
      </c>
      <c r="G72" s="20">
        <f>(7*9)</f>
        <v>63</v>
      </c>
      <c r="H72" s="24">
        <f>2+1</f>
        <v>3</v>
      </c>
      <c r="I72" s="20">
        <v>1</v>
      </c>
      <c r="J72" s="148"/>
      <c r="K72" s="149"/>
      <c r="L72" s="150"/>
      <c r="M72" s="21"/>
    </row>
    <row r="73" spans="1:13" ht="13.5" customHeight="1" x14ac:dyDescent="0.25">
      <c r="A73" s="18">
        <v>51</v>
      </c>
      <c r="B73" s="19">
        <v>45706</v>
      </c>
      <c r="C73" s="20" t="s">
        <v>5</v>
      </c>
      <c r="D73" s="46" t="s">
        <v>176</v>
      </c>
      <c r="E73" s="20" t="s">
        <v>6</v>
      </c>
      <c r="F73" s="20" t="s">
        <v>7</v>
      </c>
      <c r="G73" s="20">
        <f>(7*15)</f>
        <v>105</v>
      </c>
      <c r="H73" s="24">
        <f>4+1</f>
        <v>5</v>
      </c>
      <c r="I73" s="20">
        <v>1</v>
      </c>
      <c r="J73" s="148"/>
      <c r="K73" s="149"/>
      <c r="L73" s="150"/>
      <c r="M73" s="21"/>
    </row>
    <row r="74" spans="1:13" ht="13.5" customHeight="1" x14ac:dyDescent="0.25">
      <c r="A74" s="18">
        <v>52</v>
      </c>
      <c r="B74" s="19">
        <v>45706</v>
      </c>
      <c r="C74" s="20" t="s">
        <v>5</v>
      </c>
      <c r="D74" s="46" t="s">
        <v>177</v>
      </c>
      <c r="E74" s="20" t="s">
        <v>6</v>
      </c>
      <c r="F74" s="20" t="s">
        <v>7</v>
      </c>
      <c r="G74" s="20">
        <f>(4*2.5*4.6)+(1*3.6*4.6)+(5*2.5*4.6)+(1*3.6*4.6)</f>
        <v>136.62</v>
      </c>
      <c r="H74" s="20">
        <f>4+1+5+1</f>
        <v>11</v>
      </c>
      <c r="I74" s="20">
        <v>2</v>
      </c>
      <c r="J74" s="148"/>
      <c r="K74" s="149"/>
      <c r="L74" s="150"/>
      <c r="M74" s="21"/>
    </row>
    <row r="75" spans="1:13" ht="13.5" customHeight="1" thickBot="1" x14ac:dyDescent="0.3">
      <c r="A75" s="18">
        <v>53</v>
      </c>
      <c r="B75" s="19">
        <v>45706</v>
      </c>
      <c r="C75" s="20" t="s">
        <v>5</v>
      </c>
      <c r="D75" s="46" t="s">
        <v>178</v>
      </c>
      <c r="E75" s="20" t="s">
        <v>6</v>
      </c>
      <c r="F75" s="20" t="s">
        <v>7</v>
      </c>
      <c r="G75" s="44">
        <f>35*4.6</f>
        <v>161</v>
      </c>
      <c r="H75" s="20">
        <f>8+1</f>
        <v>9</v>
      </c>
      <c r="I75" s="20">
        <v>1</v>
      </c>
      <c r="J75" s="148"/>
      <c r="K75" s="149"/>
      <c r="L75" s="150"/>
      <c r="M75" s="21"/>
    </row>
    <row r="76" spans="1:13" ht="13.5" customHeight="1" thickBot="1" x14ac:dyDescent="0.3">
      <c r="A76" s="151" t="s">
        <v>412</v>
      </c>
      <c r="B76" s="152"/>
      <c r="C76" s="152"/>
      <c r="D76" s="152"/>
      <c r="E76" s="152"/>
      <c r="F76" s="152"/>
      <c r="G76" s="12"/>
      <c r="H76" s="12"/>
      <c r="I76" s="12"/>
      <c r="J76" s="12"/>
      <c r="K76" s="12"/>
      <c r="L76" s="12"/>
      <c r="M76" s="13"/>
    </row>
    <row r="77" spans="1:13" ht="13.5" customHeight="1" x14ac:dyDescent="0.25">
      <c r="A77" s="14">
        <v>54</v>
      </c>
      <c r="B77" s="15">
        <v>45707</v>
      </c>
      <c r="C77" s="16" t="s">
        <v>5</v>
      </c>
      <c r="D77" s="45" t="s">
        <v>179</v>
      </c>
      <c r="E77" s="16" t="s">
        <v>6</v>
      </c>
      <c r="F77" s="16" t="s">
        <v>7</v>
      </c>
      <c r="G77" s="16">
        <f>(30*6)</f>
        <v>180</v>
      </c>
      <c r="H77" s="16">
        <f>9+1</f>
        <v>10</v>
      </c>
      <c r="I77" s="16">
        <v>1</v>
      </c>
      <c r="J77" s="145" t="s">
        <v>443</v>
      </c>
      <c r="K77" s="146"/>
      <c r="L77" s="147"/>
      <c r="M77" s="17"/>
    </row>
    <row r="78" spans="1:13" ht="13.5" customHeight="1" x14ac:dyDescent="0.25">
      <c r="A78" s="18">
        <v>55</v>
      </c>
      <c r="B78" s="19">
        <v>45707</v>
      </c>
      <c r="C78" s="20" t="s">
        <v>5</v>
      </c>
      <c r="D78" s="46" t="s">
        <v>179</v>
      </c>
      <c r="E78" s="20" t="s">
        <v>6</v>
      </c>
      <c r="F78" s="20" t="s">
        <v>7</v>
      </c>
      <c r="G78" s="20">
        <f>(44*2.8)</f>
        <v>123.19999999999999</v>
      </c>
      <c r="H78" s="20">
        <f>5+1</f>
        <v>6</v>
      </c>
      <c r="I78" s="20">
        <v>1</v>
      </c>
      <c r="J78" s="148"/>
      <c r="K78" s="149"/>
      <c r="L78" s="150"/>
      <c r="M78" s="21"/>
    </row>
    <row r="79" spans="1:13" ht="13.5" customHeight="1" x14ac:dyDescent="0.25">
      <c r="A79" s="18">
        <v>56</v>
      </c>
      <c r="B79" s="19">
        <v>45707</v>
      </c>
      <c r="C79" s="20" t="s">
        <v>5</v>
      </c>
      <c r="D79" s="46" t="s">
        <v>180</v>
      </c>
      <c r="E79" s="20" t="s">
        <v>6</v>
      </c>
      <c r="F79" s="20" t="s">
        <v>7</v>
      </c>
      <c r="G79" s="31">
        <f>(12*3*5.6)+(2*3.6*5.6)</f>
        <v>241.92</v>
      </c>
      <c r="H79" s="20">
        <f>12+2</f>
        <v>14</v>
      </c>
      <c r="I79" s="20">
        <v>2</v>
      </c>
      <c r="J79" s="148"/>
      <c r="K79" s="149"/>
      <c r="L79" s="150"/>
      <c r="M79" s="21"/>
    </row>
    <row r="80" spans="1:13" ht="13.5" customHeight="1" thickBot="1" x14ac:dyDescent="0.3">
      <c r="A80" s="32">
        <v>57</v>
      </c>
      <c r="B80" s="19">
        <v>45707</v>
      </c>
      <c r="C80" s="20" t="s">
        <v>5</v>
      </c>
      <c r="D80" s="46" t="s">
        <v>181</v>
      </c>
      <c r="E80" s="20" t="s">
        <v>6</v>
      </c>
      <c r="F80" s="20" t="s">
        <v>7</v>
      </c>
      <c r="G80" s="20">
        <f>(50*5.5)</f>
        <v>275</v>
      </c>
      <c r="H80" s="20">
        <f>2+2+5</f>
        <v>9</v>
      </c>
      <c r="I80" s="20">
        <v>2</v>
      </c>
      <c r="J80" s="153"/>
      <c r="K80" s="154"/>
      <c r="L80" s="155"/>
      <c r="M80" s="35"/>
    </row>
    <row r="81" spans="1:13" ht="13.5" customHeight="1" thickBot="1" x14ac:dyDescent="0.3">
      <c r="A81" s="151" t="s">
        <v>413</v>
      </c>
      <c r="B81" s="152"/>
      <c r="C81" s="152"/>
      <c r="D81" s="152"/>
      <c r="E81" s="152"/>
      <c r="F81" s="152"/>
      <c r="G81" s="36"/>
      <c r="H81" s="36"/>
      <c r="I81" s="36"/>
      <c r="J81" s="36"/>
      <c r="K81" s="36"/>
      <c r="L81" s="36"/>
      <c r="M81" s="37"/>
    </row>
    <row r="82" spans="1:13" ht="21.75" customHeight="1" thickBot="1" x14ac:dyDescent="0.3">
      <c r="A82" s="14">
        <v>58</v>
      </c>
      <c r="B82" s="15">
        <v>45707</v>
      </c>
      <c r="C82" s="16" t="s">
        <v>5</v>
      </c>
      <c r="D82" s="45" t="s">
        <v>182</v>
      </c>
      <c r="E82" s="16" t="s">
        <v>6</v>
      </c>
      <c r="F82" s="16" t="s">
        <v>7</v>
      </c>
      <c r="G82" s="16">
        <f>2*9*2.7</f>
        <v>48.6</v>
      </c>
      <c r="H82" s="16">
        <v>2</v>
      </c>
      <c r="I82" s="16">
        <v>1</v>
      </c>
      <c r="J82" s="145" t="s">
        <v>443</v>
      </c>
      <c r="K82" s="146"/>
      <c r="L82" s="147"/>
      <c r="M82" s="17"/>
    </row>
    <row r="83" spans="1:13" ht="13.5" customHeight="1" thickBot="1" x14ac:dyDescent="0.3">
      <c r="A83" s="151" t="s">
        <v>183</v>
      </c>
      <c r="B83" s="152"/>
      <c r="C83" s="152"/>
      <c r="D83" s="152"/>
      <c r="E83" s="152"/>
      <c r="F83" s="152"/>
      <c r="G83" s="12"/>
      <c r="H83" s="12"/>
      <c r="I83" s="12"/>
      <c r="J83" s="12"/>
      <c r="K83" s="12"/>
      <c r="L83" s="12"/>
      <c r="M83" s="13"/>
    </row>
    <row r="84" spans="1:13" ht="13.5" customHeight="1" x14ac:dyDescent="0.25">
      <c r="A84" s="14">
        <v>59</v>
      </c>
      <c r="B84" s="15">
        <v>45707</v>
      </c>
      <c r="C84" s="16" t="s">
        <v>5</v>
      </c>
      <c r="D84" s="92" t="s">
        <v>184</v>
      </c>
      <c r="E84" s="38" t="s">
        <v>6</v>
      </c>
      <c r="F84" s="38" t="s">
        <v>7</v>
      </c>
      <c r="G84" s="47">
        <f>(36*5.5)</f>
        <v>198</v>
      </c>
      <c r="H84" s="16">
        <f>8+1</f>
        <v>9</v>
      </c>
      <c r="I84" s="16">
        <v>1</v>
      </c>
      <c r="J84" s="145" t="s">
        <v>443</v>
      </c>
      <c r="K84" s="146"/>
      <c r="L84" s="147"/>
      <c r="M84" s="17"/>
    </row>
    <row r="85" spans="1:13" ht="13.5" customHeight="1" x14ac:dyDescent="0.25">
      <c r="A85" s="42">
        <v>60</v>
      </c>
      <c r="B85" s="48">
        <v>45707</v>
      </c>
      <c r="C85" s="31" t="s">
        <v>5</v>
      </c>
      <c r="D85" s="106" t="s">
        <v>185</v>
      </c>
      <c r="E85" s="24" t="s">
        <v>6</v>
      </c>
      <c r="F85" s="24" t="s">
        <v>7</v>
      </c>
      <c r="G85" s="49">
        <f>(20*6)</f>
        <v>120</v>
      </c>
      <c r="H85" s="20">
        <f>4+1</f>
        <v>5</v>
      </c>
      <c r="I85" s="20">
        <v>1</v>
      </c>
      <c r="J85" s="148"/>
      <c r="K85" s="149"/>
      <c r="L85" s="150"/>
      <c r="M85" s="21"/>
    </row>
    <row r="86" spans="1:13" ht="13.5" customHeight="1" x14ac:dyDescent="0.25">
      <c r="A86" s="18">
        <v>61</v>
      </c>
      <c r="B86" s="48">
        <v>45707</v>
      </c>
      <c r="C86" s="31" t="s">
        <v>5</v>
      </c>
      <c r="D86" s="106" t="s">
        <v>185</v>
      </c>
      <c r="E86" s="24" t="s">
        <v>6</v>
      </c>
      <c r="F86" s="24" t="s">
        <v>7</v>
      </c>
      <c r="G86" s="24">
        <f>11.5*4.1</f>
        <v>47.15</v>
      </c>
      <c r="H86" s="20">
        <v>1</v>
      </c>
      <c r="I86" s="20">
        <v>0</v>
      </c>
      <c r="J86" s="148"/>
      <c r="K86" s="149"/>
      <c r="L86" s="150"/>
      <c r="M86" s="21"/>
    </row>
    <row r="87" spans="1:13" ht="13.5" customHeight="1" x14ac:dyDescent="0.25">
      <c r="A87" s="18">
        <v>62</v>
      </c>
      <c r="B87" s="48">
        <v>45707</v>
      </c>
      <c r="C87" s="20" t="s">
        <v>5</v>
      </c>
      <c r="D87" s="103" t="s">
        <v>186</v>
      </c>
      <c r="E87" s="24" t="s">
        <v>6</v>
      </c>
      <c r="F87" s="24" t="s">
        <v>7</v>
      </c>
      <c r="G87" s="50">
        <f>16.5*4</f>
        <v>66</v>
      </c>
      <c r="H87" s="20">
        <f>1+1</f>
        <v>2</v>
      </c>
      <c r="I87" s="20">
        <v>1</v>
      </c>
      <c r="J87" s="148"/>
      <c r="K87" s="149"/>
      <c r="L87" s="150"/>
      <c r="M87" s="21"/>
    </row>
    <row r="88" spans="1:13" ht="13.5" customHeight="1" x14ac:dyDescent="0.25">
      <c r="A88" s="18">
        <v>63</v>
      </c>
      <c r="B88" s="48">
        <v>45707</v>
      </c>
      <c r="C88" s="20" t="s">
        <v>5</v>
      </c>
      <c r="D88" s="103" t="s">
        <v>187</v>
      </c>
      <c r="E88" s="24" t="s">
        <v>6</v>
      </c>
      <c r="F88" s="24" t="s">
        <v>7</v>
      </c>
      <c r="G88" s="50">
        <f>2*7.5*4</f>
        <v>60</v>
      </c>
      <c r="H88" s="20">
        <f>1+1</f>
        <v>2</v>
      </c>
      <c r="I88" s="20">
        <v>1</v>
      </c>
      <c r="J88" s="148"/>
      <c r="K88" s="149"/>
      <c r="L88" s="150"/>
      <c r="M88" s="21"/>
    </row>
    <row r="89" spans="1:13" ht="13.5" customHeight="1" x14ac:dyDescent="0.25">
      <c r="A89" s="18">
        <v>64</v>
      </c>
      <c r="B89" s="48">
        <v>45707</v>
      </c>
      <c r="C89" s="20" t="s">
        <v>5</v>
      </c>
      <c r="D89" s="103" t="s">
        <v>188</v>
      </c>
      <c r="E89" s="24" t="s">
        <v>6</v>
      </c>
      <c r="F89" s="24" t="s">
        <v>7</v>
      </c>
      <c r="G89" s="50">
        <f>(18*2.5*6)+(2*3.5*6)</f>
        <v>312</v>
      </c>
      <c r="H89" s="20">
        <f>18+2</f>
        <v>20</v>
      </c>
      <c r="I89" s="20">
        <v>2</v>
      </c>
      <c r="J89" s="148"/>
      <c r="K89" s="149"/>
      <c r="L89" s="150"/>
      <c r="M89" s="21"/>
    </row>
    <row r="90" spans="1:13" ht="13.5" customHeight="1" x14ac:dyDescent="0.25">
      <c r="A90" s="18">
        <v>65</v>
      </c>
      <c r="B90" s="48">
        <v>45707</v>
      </c>
      <c r="C90" s="20" t="s">
        <v>5</v>
      </c>
      <c r="D90" s="103" t="s">
        <v>189</v>
      </c>
      <c r="E90" s="24" t="s">
        <v>6</v>
      </c>
      <c r="F90" s="24" t="s">
        <v>7</v>
      </c>
      <c r="G90" s="24">
        <f>(41*5.5)</f>
        <v>225.5</v>
      </c>
      <c r="H90" s="20">
        <f>11+2</f>
        <v>13</v>
      </c>
      <c r="I90" s="20">
        <v>2</v>
      </c>
      <c r="J90" s="148"/>
      <c r="K90" s="149"/>
      <c r="L90" s="150"/>
      <c r="M90" s="21"/>
    </row>
    <row r="91" spans="1:13" ht="13.5" customHeight="1" x14ac:dyDescent="0.25">
      <c r="A91" s="18">
        <v>66</v>
      </c>
      <c r="B91" s="48">
        <v>45707</v>
      </c>
      <c r="C91" s="20" t="s">
        <v>5</v>
      </c>
      <c r="D91" s="103" t="s">
        <v>190</v>
      </c>
      <c r="E91" s="24" t="s">
        <v>6</v>
      </c>
      <c r="F91" s="24" t="s">
        <v>7</v>
      </c>
      <c r="G91" s="24">
        <f>(2*2.5*5)+(1*3.6*6)</f>
        <v>46.6</v>
      </c>
      <c r="H91" s="20">
        <f>2+1</f>
        <v>3</v>
      </c>
      <c r="I91" s="20">
        <v>1</v>
      </c>
      <c r="J91" s="148"/>
      <c r="K91" s="149"/>
      <c r="L91" s="150"/>
      <c r="M91" s="21"/>
    </row>
    <row r="92" spans="1:13" ht="13.5" customHeight="1" thickBot="1" x14ac:dyDescent="0.3">
      <c r="A92" s="32">
        <v>67</v>
      </c>
      <c r="B92" s="33">
        <v>45707</v>
      </c>
      <c r="C92" s="34" t="s">
        <v>5</v>
      </c>
      <c r="D92" s="104" t="s">
        <v>191</v>
      </c>
      <c r="E92" s="28" t="s">
        <v>6</v>
      </c>
      <c r="F92" s="28" t="s">
        <v>7</v>
      </c>
      <c r="G92" s="28">
        <f>41*4.3</f>
        <v>176.29999999999998</v>
      </c>
      <c r="H92" s="34">
        <f>6+1</f>
        <v>7</v>
      </c>
      <c r="I92" s="34">
        <v>1</v>
      </c>
      <c r="J92" s="148"/>
      <c r="K92" s="149"/>
      <c r="L92" s="150"/>
      <c r="M92" s="35"/>
    </row>
    <row r="93" spans="1:13" ht="13.5" customHeight="1" thickBot="1" x14ac:dyDescent="0.3">
      <c r="A93" s="151" t="s">
        <v>414</v>
      </c>
      <c r="B93" s="152"/>
      <c r="C93" s="152"/>
      <c r="D93" s="152"/>
      <c r="E93" s="152"/>
      <c r="F93" s="152"/>
      <c r="G93" s="12"/>
      <c r="H93" s="12"/>
      <c r="I93" s="12"/>
      <c r="J93" s="12"/>
      <c r="K93" s="12"/>
      <c r="L93" s="12"/>
      <c r="M93" s="13"/>
    </row>
    <row r="94" spans="1:13" ht="13.5" customHeight="1" x14ac:dyDescent="0.25">
      <c r="A94" s="14">
        <v>68</v>
      </c>
      <c r="B94" s="15">
        <v>45709</v>
      </c>
      <c r="C94" s="16" t="s">
        <v>5</v>
      </c>
      <c r="D94" s="45" t="s">
        <v>94</v>
      </c>
      <c r="E94" s="16" t="s">
        <v>6</v>
      </c>
      <c r="F94" s="16" t="s">
        <v>7</v>
      </c>
      <c r="G94" s="16">
        <f>(5*2.5*5)+(2*3.6*5)</f>
        <v>98.5</v>
      </c>
      <c r="H94" s="16">
        <f>5+2</f>
        <v>7</v>
      </c>
      <c r="I94" s="16">
        <v>2</v>
      </c>
      <c r="J94" s="145" t="s">
        <v>443</v>
      </c>
      <c r="K94" s="146"/>
      <c r="L94" s="147"/>
      <c r="M94" s="17"/>
    </row>
    <row r="95" spans="1:13" ht="13.5" customHeight="1" x14ac:dyDescent="0.25">
      <c r="A95" s="18">
        <v>69</v>
      </c>
      <c r="B95" s="19">
        <v>45709</v>
      </c>
      <c r="C95" s="20" t="s">
        <v>5</v>
      </c>
      <c r="D95" s="46" t="s">
        <v>93</v>
      </c>
      <c r="E95" s="20" t="s">
        <v>6</v>
      </c>
      <c r="F95" s="20" t="s">
        <v>7</v>
      </c>
      <c r="G95" s="51">
        <f>(33.5*((6+8+12)/3))</f>
        <v>290.33333333333331</v>
      </c>
      <c r="H95" s="20">
        <f>9+2</f>
        <v>11</v>
      </c>
      <c r="I95" s="20">
        <v>2</v>
      </c>
      <c r="J95" s="148"/>
      <c r="K95" s="149"/>
      <c r="L95" s="150"/>
      <c r="M95" s="21"/>
    </row>
    <row r="96" spans="1:13" ht="13.5" customHeight="1" thickBot="1" x14ac:dyDescent="0.3">
      <c r="A96" s="32">
        <v>70</v>
      </c>
      <c r="B96" s="33">
        <v>45709</v>
      </c>
      <c r="C96" s="34" t="s">
        <v>5</v>
      </c>
      <c r="D96" s="105" t="s">
        <v>92</v>
      </c>
      <c r="E96" s="34" t="s">
        <v>6</v>
      </c>
      <c r="F96" s="34" t="s">
        <v>7</v>
      </c>
      <c r="G96" s="131">
        <f>(9*2.5*8)+(1*4*8)</f>
        <v>212</v>
      </c>
      <c r="H96" s="34">
        <f>9+1</f>
        <v>10</v>
      </c>
      <c r="I96" s="34">
        <v>1</v>
      </c>
      <c r="J96" s="148"/>
      <c r="K96" s="149"/>
      <c r="L96" s="150"/>
      <c r="M96" s="35"/>
    </row>
    <row r="97" spans="1:13" ht="13.5" customHeight="1" thickBot="1" x14ac:dyDescent="0.3">
      <c r="A97" s="151" t="s">
        <v>415</v>
      </c>
      <c r="B97" s="152"/>
      <c r="C97" s="152"/>
      <c r="D97" s="152"/>
      <c r="E97" s="152"/>
      <c r="F97" s="152"/>
      <c r="G97" s="36"/>
      <c r="H97" s="36"/>
      <c r="I97" s="36"/>
      <c r="J97" s="177"/>
      <c r="K97" s="177"/>
      <c r="L97" s="177"/>
      <c r="M97" s="37"/>
    </row>
    <row r="98" spans="1:13" ht="21.75" customHeight="1" thickBot="1" x14ac:dyDescent="0.3">
      <c r="A98" s="32">
        <v>71</v>
      </c>
      <c r="B98" s="33">
        <v>45709</v>
      </c>
      <c r="C98" s="34" t="s">
        <v>5</v>
      </c>
      <c r="D98" s="105" t="s">
        <v>194</v>
      </c>
      <c r="E98" s="34" t="s">
        <v>6</v>
      </c>
      <c r="F98" s="34" t="s">
        <v>7</v>
      </c>
      <c r="G98" s="34">
        <f>2*9.5*2.8</f>
        <v>53.199999999999996</v>
      </c>
      <c r="H98" s="34">
        <f>1+1</f>
        <v>2</v>
      </c>
      <c r="I98" s="34">
        <v>1</v>
      </c>
      <c r="J98" s="148" t="s">
        <v>443</v>
      </c>
      <c r="K98" s="149"/>
      <c r="L98" s="150"/>
      <c r="M98" s="35"/>
    </row>
    <row r="99" spans="1:13" ht="13.5" customHeight="1" thickBot="1" x14ac:dyDescent="0.3">
      <c r="A99" s="151" t="s">
        <v>416</v>
      </c>
      <c r="B99" s="152"/>
      <c r="C99" s="152"/>
      <c r="D99" s="152"/>
      <c r="E99" s="152"/>
      <c r="F99" s="152"/>
      <c r="G99" s="36"/>
      <c r="H99" s="36"/>
      <c r="I99" s="36"/>
      <c r="J99" s="177"/>
      <c r="K99" s="177"/>
      <c r="L99" s="177"/>
      <c r="M99" s="37"/>
    </row>
    <row r="100" spans="1:13" ht="21.75" customHeight="1" thickBot="1" x14ac:dyDescent="0.3">
      <c r="A100" s="18">
        <v>72</v>
      </c>
      <c r="B100" s="19">
        <v>45709</v>
      </c>
      <c r="C100" s="128" t="s">
        <v>5</v>
      </c>
      <c r="D100" s="46" t="s">
        <v>457</v>
      </c>
      <c r="E100" s="128" t="s">
        <v>6</v>
      </c>
      <c r="F100" s="128" t="s">
        <v>7</v>
      </c>
      <c r="G100" s="52">
        <f>(2*2.5*6)+(1*4*6)</f>
        <v>54</v>
      </c>
      <c r="H100" s="128">
        <f>1+1</f>
        <v>2</v>
      </c>
      <c r="I100" s="128">
        <v>1</v>
      </c>
      <c r="J100" s="148" t="s">
        <v>443</v>
      </c>
      <c r="K100" s="149"/>
      <c r="L100" s="150"/>
      <c r="M100" s="21"/>
    </row>
    <row r="101" spans="1:13" ht="13.5" customHeight="1" thickBot="1" x14ac:dyDescent="0.3">
      <c r="A101" s="151" t="s">
        <v>417</v>
      </c>
      <c r="B101" s="152"/>
      <c r="C101" s="152"/>
      <c r="D101" s="152"/>
      <c r="E101" s="152"/>
      <c r="F101" s="152"/>
      <c r="G101" s="12"/>
      <c r="H101" s="12"/>
      <c r="I101" s="12"/>
      <c r="J101" s="12"/>
      <c r="K101" s="12"/>
      <c r="L101" s="12"/>
      <c r="M101" s="13"/>
    </row>
    <row r="102" spans="1:13" ht="13.5" customHeight="1" x14ac:dyDescent="0.25">
      <c r="A102" s="14">
        <v>73</v>
      </c>
      <c r="B102" s="15">
        <v>45712</v>
      </c>
      <c r="C102" s="16" t="s">
        <v>5</v>
      </c>
      <c r="D102" s="45" t="s">
        <v>192</v>
      </c>
      <c r="E102" s="16" t="s">
        <v>6</v>
      </c>
      <c r="F102" s="16" t="s">
        <v>7</v>
      </c>
      <c r="G102" s="47">
        <f>(5*2.8*(5+3))+(1*4*(6+2))</f>
        <v>144</v>
      </c>
      <c r="H102" s="16">
        <f>5+1</f>
        <v>6</v>
      </c>
      <c r="I102" s="16">
        <v>1</v>
      </c>
      <c r="J102" s="145" t="s">
        <v>443</v>
      </c>
      <c r="K102" s="146"/>
      <c r="L102" s="147"/>
      <c r="M102" s="17"/>
    </row>
    <row r="103" spans="1:13" ht="13.5" customHeight="1" thickBot="1" x14ac:dyDescent="0.3">
      <c r="A103" s="32">
        <v>74</v>
      </c>
      <c r="B103" s="19">
        <v>45712</v>
      </c>
      <c r="C103" s="20" t="s">
        <v>5</v>
      </c>
      <c r="D103" s="46" t="s">
        <v>193</v>
      </c>
      <c r="E103" s="20" t="s">
        <v>6</v>
      </c>
      <c r="F103" s="20" t="s">
        <v>7</v>
      </c>
      <c r="G103" s="24">
        <f>(4*2.5*(5+3.5))+(1*3*(6+2.5))</f>
        <v>110.5</v>
      </c>
      <c r="H103" s="20">
        <f>2+1</f>
        <v>3</v>
      </c>
      <c r="I103" s="20">
        <v>1</v>
      </c>
      <c r="J103" s="153"/>
      <c r="K103" s="154"/>
      <c r="L103" s="155"/>
      <c r="M103" s="35"/>
    </row>
    <row r="104" spans="1:13" ht="13.5" customHeight="1" thickBot="1" x14ac:dyDescent="0.3">
      <c r="A104" s="151" t="s">
        <v>418</v>
      </c>
      <c r="B104" s="152"/>
      <c r="C104" s="152"/>
      <c r="D104" s="152"/>
      <c r="E104" s="152"/>
      <c r="F104" s="152"/>
      <c r="G104" s="12"/>
      <c r="H104" s="12"/>
      <c r="I104" s="12"/>
      <c r="J104" s="12"/>
      <c r="K104" s="12"/>
      <c r="L104" s="12"/>
      <c r="M104" s="13"/>
    </row>
    <row r="105" spans="1:13" ht="13.5" customHeight="1" x14ac:dyDescent="0.25">
      <c r="A105" s="14">
        <v>75</v>
      </c>
      <c r="B105" s="15">
        <v>45712</v>
      </c>
      <c r="C105" s="16" t="s">
        <v>5</v>
      </c>
      <c r="D105" s="45" t="s">
        <v>195</v>
      </c>
      <c r="E105" s="16" t="s">
        <v>6</v>
      </c>
      <c r="F105" s="16" t="s">
        <v>7</v>
      </c>
      <c r="G105" s="53">
        <f>(37.5*5)</f>
        <v>187.5</v>
      </c>
      <c r="H105" s="16">
        <f>9+2</f>
        <v>11</v>
      </c>
      <c r="I105" s="16">
        <v>2</v>
      </c>
      <c r="J105" s="145" t="s">
        <v>443</v>
      </c>
      <c r="K105" s="146"/>
      <c r="L105" s="147"/>
      <c r="M105" s="17"/>
    </row>
    <row r="106" spans="1:13" ht="13.5" customHeight="1" x14ac:dyDescent="0.25">
      <c r="A106" s="18">
        <v>76</v>
      </c>
      <c r="B106" s="19">
        <v>45712</v>
      </c>
      <c r="C106" s="20" t="s">
        <v>5</v>
      </c>
      <c r="D106" s="46" t="s">
        <v>196</v>
      </c>
      <c r="E106" s="20" t="s">
        <v>6</v>
      </c>
      <c r="F106" s="20" t="s">
        <v>7</v>
      </c>
      <c r="G106" s="51">
        <f>(12*7)</f>
        <v>84</v>
      </c>
      <c r="H106" s="20">
        <f>3+1</f>
        <v>4</v>
      </c>
      <c r="I106" s="20">
        <v>1</v>
      </c>
      <c r="J106" s="148"/>
      <c r="K106" s="149"/>
      <c r="L106" s="150"/>
      <c r="M106" s="21"/>
    </row>
    <row r="107" spans="1:13" ht="13.5" customHeight="1" x14ac:dyDescent="0.25">
      <c r="A107" s="18">
        <v>77</v>
      </c>
      <c r="B107" s="19">
        <v>45712</v>
      </c>
      <c r="C107" s="20" t="s">
        <v>5</v>
      </c>
      <c r="D107" s="46" t="s">
        <v>91</v>
      </c>
      <c r="E107" s="20" t="s">
        <v>6</v>
      </c>
      <c r="F107" s="20" t="s">
        <v>7</v>
      </c>
      <c r="G107" s="52">
        <f>(34*5)</f>
        <v>170</v>
      </c>
      <c r="H107" s="20">
        <f>9+1</f>
        <v>10</v>
      </c>
      <c r="I107" s="20">
        <v>1</v>
      </c>
      <c r="J107" s="148"/>
      <c r="K107" s="149"/>
      <c r="L107" s="150"/>
      <c r="M107" s="21"/>
    </row>
    <row r="108" spans="1:13" ht="13.5" customHeight="1" thickBot="1" x14ac:dyDescent="0.3">
      <c r="A108" s="18">
        <v>78</v>
      </c>
      <c r="B108" s="19">
        <v>45712</v>
      </c>
      <c r="C108" s="20" t="s">
        <v>5</v>
      </c>
      <c r="D108" s="46" t="s">
        <v>67</v>
      </c>
      <c r="E108" s="20" t="s">
        <v>6</v>
      </c>
      <c r="F108" s="20" t="s">
        <v>7</v>
      </c>
      <c r="G108" s="52">
        <f>(42*5)</f>
        <v>210</v>
      </c>
      <c r="H108" s="20">
        <f>9+2</f>
        <v>11</v>
      </c>
      <c r="I108" s="20">
        <v>2</v>
      </c>
      <c r="J108" s="148"/>
      <c r="K108" s="149"/>
      <c r="L108" s="150"/>
      <c r="M108" s="21"/>
    </row>
    <row r="109" spans="1:13" ht="13.5" customHeight="1" thickBot="1" x14ac:dyDescent="0.3">
      <c r="A109" s="151" t="s">
        <v>419</v>
      </c>
      <c r="B109" s="152"/>
      <c r="C109" s="152"/>
      <c r="D109" s="152"/>
      <c r="E109" s="152"/>
      <c r="F109" s="152"/>
      <c r="G109" s="12"/>
      <c r="H109" s="12"/>
      <c r="I109" s="12"/>
      <c r="J109" s="12"/>
      <c r="K109" s="12"/>
      <c r="L109" s="12"/>
      <c r="M109" s="13"/>
    </row>
    <row r="110" spans="1:13" ht="13.5" customHeight="1" x14ac:dyDescent="0.25">
      <c r="A110" s="14">
        <v>79</v>
      </c>
      <c r="B110" s="15">
        <v>45714</v>
      </c>
      <c r="C110" s="16" t="s">
        <v>5</v>
      </c>
      <c r="D110" s="45" t="s">
        <v>110</v>
      </c>
      <c r="E110" s="16" t="s">
        <v>6</v>
      </c>
      <c r="F110" s="16" t="s">
        <v>7</v>
      </c>
      <c r="G110" s="53">
        <f>(8*2.8*5)+(1*4*6)</f>
        <v>136</v>
      </c>
      <c r="H110" s="16">
        <f>8+1</f>
        <v>9</v>
      </c>
      <c r="I110" s="16">
        <v>1</v>
      </c>
      <c r="J110" s="145" t="s">
        <v>443</v>
      </c>
      <c r="K110" s="146"/>
      <c r="L110" s="147"/>
      <c r="M110" s="17"/>
    </row>
    <row r="111" spans="1:13" ht="13.5" customHeight="1" x14ac:dyDescent="0.25">
      <c r="A111" s="18">
        <v>80</v>
      </c>
      <c r="B111" s="19">
        <v>45714</v>
      </c>
      <c r="C111" s="20" t="s">
        <v>5</v>
      </c>
      <c r="D111" s="46" t="s">
        <v>111</v>
      </c>
      <c r="E111" s="20" t="s">
        <v>6</v>
      </c>
      <c r="F111" s="20" t="s">
        <v>7</v>
      </c>
      <c r="G111" s="51">
        <f>(24*6)+(22*6)</f>
        <v>276</v>
      </c>
      <c r="H111" s="20">
        <f>8+2+2</f>
        <v>12</v>
      </c>
      <c r="I111" s="20">
        <v>2</v>
      </c>
      <c r="J111" s="148"/>
      <c r="K111" s="149"/>
      <c r="L111" s="150"/>
      <c r="M111" s="21"/>
    </row>
    <row r="112" spans="1:13" ht="13.5" customHeight="1" thickBot="1" x14ac:dyDescent="0.3">
      <c r="A112" s="32">
        <v>81</v>
      </c>
      <c r="B112" s="19">
        <v>45714</v>
      </c>
      <c r="C112" s="20" t="s">
        <v>5</v>
      </c>
      <c r="D112" s="46" t="s">
        <v>112</v>
      </c>
      <c r="E112" s="20" t="s">
        <v>6</v>
      </c>
      <c r="F112" s="20" t="s">
        <v>7</v>
      </c>
      <c r="G112" s="52">
        <f>(25*9)</f>
        <v>225</v>
      </c>
      <c r="H112" s="20">
        <f>7+1</f>
        <v>8</v>
      </c>
      <c r="I112" s="20">
        <v>1</v>
      </c>
      <c r="J112" s="153"/>
      <c r="K112" s="154"/>
      <c r="L112" s="155"/>
      <c r="M112" s="35"/>
    </row>
    <row r="113" spans="1:13" ht="13.5" customHeight="1" thickBot="1" x14ac:dyDescent="0.3">
      <c r="A113" s="151" t="s">
        <v>140</v>
      </c>
      <c r="B113" s="152"/>
      <c r="C113" s="152"/>
      <c r="D113" s="152"/>
      <c r="E113" s="152"/>
      <c r="F113" s="152"/>
      <c r="G113" s="36"/>
      <c r="H113" s="36"/>
      <c r="I113" s="36"/>
      <c r="J113" s="36"/>
      <c r="K113" s="36"/>
      <c r="L113" s="36"/>
      <c r="M113" s="37"/>
    </row>
    <row r="114" spans="1:13" ht="21.75" customHeight="1" thickBot="1" x14ac:dyDescent="0.3">
      <c r="A114" s="14">
        <v>82</v>
      </c>
      <c r="B114" s="15">
        <v>45714</v>
      </c>
      <c r="C114" s="16" t="s">
        <v>5</v>
      </c>
      <c r="D114" s="45" t="s">
        <v>141</v>
      </c>
      <c r="E114" s="16" t="s">
        <v>6</v>
      </c>
      <c r="F114" s="16" t="s">
        <v>7</v>
      </c>
      <c r="G114" s="16">
        <f>(5*2.6*4.4)+(2*4*4.4)+(7*2.6*4.5)</f>
        <v>174.3</v>
      </c>
      <c r="H114" s="16">
        <f>5+2+7</f>
        <v>14</v>
      </c>
      <c r="I114" s="16">
        <v>2</v>
      </c>
      <c r="J114" s="145" t="s">
        <v>443</v>
      </c>
      <c r="K114" s="146"/>
      <c r="L114" s="147"/>
      <c r="M114" s="17"/>
    </row>
    <row r="115" spans="1:13" ht="13.5" customHeight="1" thickBot="1" x14ac:dyDescent="0.3">
      <c r="A115" s="151" t="s">
        <v>420</v>
      </c>
      <c r="B115" s="152"/>
      <c r="C115" s="152"/>
      <c r="D115" s="152"/>
      <c r="E115" s="152"/>
      <c r="F115" s="152"/>
      <c r="G115" s="12"/>
      <c r="H115" s="12"/>
      <c r="I115" s="12"/>
      <c r="J115" s="12"/>
      <c r="K115" s="12"/>
      <c r="L115" s="12"/>
      <c r="M115" s="13"/>
    </row>
    <row r="116" spans="1:13" ht="13.5" customHeight="1" x14ac:dyDescent="0.25">
      <c r="A116" s="14">
        <v>83</v>
      </c>
      <c r="B116" s="15">
        <v>45719</v>
      </c>
      <c r="C116" s="16" t="s">
        <v>5</v>
      </c>
      <c r="D116" s="45" t="s">
        <v>72</v>
      </c>
      <c r="E116" s="16" t="s">
        <v>6</v>
      </c>
      <c r="F116" s="16" t="s">
        <v>7</v>
      </c>
      <c r="G116" s="16">
        <v>62.05</v>
      </c>
      <c r="H116" s="16">
        <v>2</v>
      </c>
      <c r="I116" s="16">
        <v>0</v>
      </c>
      <c r="J116" s="145" t="s">
        <v>443</v>
      </c>
      <c r="K116" s="146"/>
      <c r="L116" s="147"/>
      <c r="M116" s="17"/>
    </row>
    <row r="117" spans="1:13" ht="13.5" customHeight="1" x14ac:dyDescent="0.25">
      <c r="A117" s="18">
        <v>84</v>
      </c>
      <c r="B117" s="19">
        <v>45719</v>
      </c>
      <c r="C117" s="20" t="s">
        <v>5</v>
      </c>
      <c r="D117" s="46" t="s">
        <v>73</v>
      </c>
      <c r="E117" s="20" t="s">
        <v>6</v>
      </c>
      <c r="F117" s="20" t="s">
        <v>7</v>
      </c>
      <c r="G117" s="31">
        <v>95.26</v>
      </c>
      <c r="H117" s="20">
        <f>3+1</f>
        <v>4</v>
      </c>
      <c r="I117" s="20">
        <v>1</v>
      </c>
      <c r="J117" s="148"/>
      <c r="K117" s="149"/>
      <c r="L117" s="150"/>
      <c r="M117" s="21"/>
    </row>
    <row r="118" spans="1:13" ht="13.5" customHeight="1" x14ac:dyDescent="0.25">
      <c r="A118" s="42">
        <v>85</v>
      </c>
      <c r="B118" s="19">
        <v>45719</v>
      </c>
      <c r="C118" s="34" t="s">
        <v>5</v>
      </c>
      <c r="D118" s="105" t="s">
        <v>452</v>
      </c>
      <c r="E118" s="34" t="s">
        <v>6</v>
      </c>
      <c r="F118" s="34" t="s">
        <v>7</v>
      </c>
      <c r="G118" s="34">
        <f>63.5*4.1</f>
        <v>260.34999999999997</v>
      </c>
      <c r="H118" s="34">
        <f>9+2</f>
        <v>11</v>
      </c>
      <c r="I118" s="34">
        <v>2</v>
      </c>
      <c r="J118" s="148"/>
      <c r="K118" s="149"/>
      <c r="L118" s="150"/>
      <c r="M118" s="21"/>
    </row>
    <row r="119" spans="1:13" ht="13.5" customHeight="1" x14ac:dyDescent="0.25">
      <c r="A119" s="18">
        <v>86</v>
      </c>
      <c r="B119" s="19">
        <v>45719</v>
      </c>
      <c r="C119" s="31" t="s">
        <v>5</v>
      </c>
      <c r="D119" s="107" t="s">
        <v>74</v>
      </c>
      <c r="E119" s="31" t="s">
        <v>6</v>
      </c>
      <c r="F119" s="31" t="s">
        <v>7</v>
      </c>
      <c r="G119" s="54">
        <f>(129*2.5)+(129*3.5)+(13*4)+(14*4)</f>
        <v>882</v>
      </c>
      <c r="H119" s="31">
        <f>17+2</f>
        <v>19</v>
      </c>
      <c r="I119" s="31">
        <v>2</v>
      </c>
      <c r="J119" s="149"/>
      <c r="K119" s="149"/>
      <c r="L119" s="150"/>
      <c r="M119" s="21"/>
    </row>
    <row r="120" spans="1:13" ht="13.5" customHeight="1" x14ac:dyDescent="0.25">
      <c r="A120" s="18">
        <v>87</v>
      </c>
      <c r="B120" s="19">
        <v>45719</v>
      </c>
      <c r="C120" s="31" t="s">
        <v>5</v>
      </c>
      <c r="D120" s="107" t="s">
        <v>75</v>
      </c>
      <c r="E120" s="31" t="s">
        <v>6</v>
      </c>
      <c r="F120" s="31" t="s">
        <v>7</v>
      </c>
      <c r="G120" s="49">
        <f>(67*8)+(7*4)+(8*1.6)</f>
        <v>576.79999999999995</v>
      </c>
      <c r="H120" s="31">
        <f>17+2</f>
        <v>19</v>
      </c>
      <c r="I120" s="31">
        <v>2</v>
      </c>
      <c r="J120" s="149"/>
      <c r="K120" s="149"/>
      <c r="L120" s="150"/>
      <c r="M120" s="21"/>
    </row>
    <row r="121" spans="1:13" ht="13.5" customHeight="1" x14ac:dyDescent="0.25">
      <c r="A121" s="42">
        <v>88</v>
      </c>
      <c r="B121" s="19">
        <v>45719</v>
      </c>
      <c r="C121" s="31" t="s">
        <v>5</v>
      </c>
      <c r="D121" s="107" t="s">
        <v>76</v>
      </c>
      <c r="E121" s="31" t="s">
        <v>6</v>
      </c>
      <c r="F121" s="31" t="s">
        <v>7</v>
      </c>
      <c r="G121" s="49">
        <f>(120*6.5)+(21*4.1)+(14*4.1)</f>
        <v>923.5</v>
      </c>
      <c r="H121" s="31">
        <f>16+2</f>
        <v>18</v>
      </c>
      <c r="I121" s="31">
        <v>2</v>
      </c>
      <c r="J121" s="149"/>
      <c r="K121" s="149"/>
      <c r="L121" s="150"/>
      <c r="M121" s="21"/>
    </row>
    <row r="122" spans="1:13" ht="13.5" customHeight="1" x14ac:dyDescent="0.25">
      <c r="A122" s="18">
        <v>89</v>
      </c>
      <c r="B122" s="19">
        <v>45719</v>
      </c>
      <c r="C122" s="31" t="s">
        <v>5</v>
      </c>
      <c r="D122" s="107" t="s">
        <v>77</v>
      </c>
      <c r="E122" s="31" t="s">
        <v>6</v>
      </c>
      <c r="F122" s="31" t="s">
        <v>7</v>
      </c>
      <c r="G122" s="55">
        <f>(62*8)+(11*2)</f>
        <v>518</v>
      </c>
      <c r="H122" s="31">
        <f>15+2</f>
        <v>17</v>
      </c>
      <c r="I122" s="31">
        <v>2</v>
      </c>
      <c r="J122" s="149"/>
      <c r="K122" s="149"/>
      <c r="L122" s="150"/>
      <c r="M122" s="21"/>
    </row>
    <row r="123" spans="1:13" ht="13.5" customHeight="1" x14ac:dyDescent="0.25">
      <c r="A123" s="18">
        <v>90</v>
      </c>
      <c r="B123" s="19">
        <v>45719</v>
      </c>
      <c r="C123" s="31" t="s">
        <v>5</v>
      </c>
      <c r="D123" s="107" t="s">
        <v>78</v>
      </c>
      <c r="E123" s="31" t="s">
        <v>6</v>
      </c>
      <c r="F123" s="31" t="s">
        <v>7</v>
      </c>
      <c r="G123" s="55">
        <f>(78*10)</f>
        <v>780</v>
      </c>
      <c r="H123" s="31">
        <f>19+3</f>
        <v>22</v>
      </c>
      <c r="I123" s="31">
        <v>3</v>
      </c>
      <c r="J123" s="149"/>
      <c r="K123" s="149"/>
      <c r="L123" s="150"/>
      <c r="M123" s="21"/>
    </row>
    <row r="124" spans="1:13" ht="13.5" customHeight="1" x14ac:dyDescent="0.25">
      <c r="A124" s="42">
        <v>91</v>
      </c>
      <c r="B124" s="19">
        <v>45719</v>
      </c>
      <c r="C124" s="31" t="s">
        <v>5</v>
      </c>
      <c r="D124" s="107" t="s">
        <v>79</v>
      </c>
      <c r="E124" s="31" t="s">
        <v>6</v>
      </c>
      <c r="F124" s="31" t="s">
        <v>7</v>
      </c>
      <c r="G124" s="55">
        <f>((4*7.5*3.3)+(1*7.5*3.6))+((4*7.5*3.3)+(1*7.5*3.6))+((4*7.5*3.3)+(1*7.5*3.6))</f>
        <v>378</v>
      </c>
      <c r="H124" s="31">
        <f>4+1+5+1+5</f>
        <v>16</v>
      </c>
      <c r="I124" s="31">
        <v>2</v>
      </c>
      <c r="J124" s="149"/>
      <c r="K124" s="149"/>
      <c r="L124" s="150"/>
      <c r="M124" s="21"/>
    </row>
    <row r="125" spans="1:13" ht="13.5" customHeight="1" x14ac:dyDescent="0.25">
      <c r="A125" s="18">
        <v>92</v>
      </c>
      <c r="B125" s="19">
        <v>45719</v>
      </c>
      <c r="C125" s="31" t="s">
        <v>5</v>
      </c>
      <c r="D125" s="107" t="s">
        <v>80</v>
      </c>
      <c r="E125" s="31" t="s">
        <v>6</v>
      </c>
      <c r="F125" s="31" t="s">
        <v>7</v>
      </c>
      <c r="G125" s="55">
        <f>76*9</f>
        <v>684</v>
      </c>
      <c r="H125" s="31">
        <f>19+3</f>
        <v>22</v>
      </c>
      <c r="I125" s="31">
        <v>3</v>
      </c>
      <c r="J125" s="149"/>
      <c r="K125" s="149"/>
      <c r="L125" s="150"/>
      <c r="M125" s="21"/>
    </row>
    <row r="126" spans="1:13" ht="13.5" customHeight="1" x14ac:dyDescent="0.25">
      <c r="A126" s="18">
        <v>93</v>
      </c>
      <c r="B126" s="19">
        <v>45719</v>
      </c>
      <c r="C126" s="31" t="s">
        <v>5</v>
      </c>
      <c r="D126" s="107" t="s">
        <v>81</v>
      </c>
      <c r="E126" s="31" t="s">
        <v>6</v>
      </c>
      <c r="F126" s="31" t="s">
        <v>7</v>
      </c>
      <c r="G126" s="49">
        <f>84*8</f>
        <v>672</v>
      </c>
      <c r="H126" s="31">
        <f>22+3</f>
        <v>25</v>
      </c>
      <c r="I126" s="31">
        <v>3</v>
      </c>
      <c r="J126" s="149"/>
      <c r="K126" s="149"/>
      <c r="L126" s="150"/>
      <c r="M126" s="21"/>
    </row>
    <row r="127" spans="1:13" ht="13.5" customHeight="1" x14ac:dyDescent="0.25">
      <c r="A127" s="42">
        <v>94</v>
      </c>
      <c r="B127" s="19">
        <v>45719</v>
      </c>
      <c r="C127" s="31" t="s">
        <v>5</v>
      </c>
      <c r="D127" s="106" t="s">
        <v>82</v>
      </c>
      <c r="E127" s="49" t="s">
        <v>6</v>
      </c>
      <c r="F127" s="49" t="s">
        <v>7</v>
      </c>
      <c r="G127" s="49">
        <f>(130*6)+73.4+95+71</f>
        <v>1019.4</v>
      </c>
      <c r="H127" s="49">
        <f>5+2+8</f>
        <v>15</v>
      </c>
      <c r="I127" s="49">
        <v>2</v>
      </c>
      <c r="J127" s="149"/>
      <c r="K127" s="149"/>
      <c r="L127" s="150"/>
      <c r="M127" s="21"/>
    </row>
    <row r="128" spans="1:13" ht="13.5" customHeight="1" x14ac:dyDescent="0.25">
      <c r="A128" s="18">
        <v>95</v>
      </c>
      <c r="B128" s="19">
        <v>45719</v>
      </c>
      <c r="C128" s="20" t="s">
        <v>5</v>
      </c>
      <c r="D128" s="46" t="s">
        <v>454</v>
      </c>
      <c r="E128" s="24" t="s">
        <v>6</v>
      </c>
      <c r="F128" s="24" t="s">
        <v>7</v>
      </c>
      <c r="G128" s="40">
        <f>(47*17)+67</f>
        <v>866</v>
      </c>
      <c r="H128" s="24">
        <f>11+2</f>
        <v>13</v>
      </c>
      <c r="I128" s="24">
        <v>2</v>
      </c>
      <c r="J128" s="149"/>
      <c r="K128" s="149"/>
      <c r="L128" s="150"/>
      <c r="M128" s="21"/>
    </row>
    <row r="129" spans="1:13" ht="13.5" customHeight="1" x14ac:dyDescent="0.25">
      <c r="A129" s="18">
        <v>96</v>
      </c>
      <c r="B129" s="19">
        <v>45719</v>
      </c>
      <c r="C129" s="20" t="s">
        <v>5</v>
      </c>
      <c r="D129" s="46" t="s">
        <v>83</v>
      </c>
      <c r="E129" s="24" t="s">
        <v>6</v>
      </c>
      <c r="F129" s="24" t="s">
        <v>7</v>
      </c>
      <c r="G129" s="24">
        <v>135.16999999999999</v>
      </c>
      <c r="H129" s="24">
        <f>6+1</f>
        <v>7</v>
      </c>
      <c r="I129" s="24">
        <v>1</v>
      </c>
      <c r="J129" s="149"/>
      <c r="K129" s="149"/>
      <c r="L129" s="150"/>
      <c r="M129" s="21"/>
    </row>
    <row r="130" spans="1:13" ht="13.5" customHeight="1" x14ac:dyDescent="0.25">
      <c r="A130" s="42">
        <v>97</v>
      </c>
      <c r="B130" s="19">
        <v>45719</v>
      </c>
      <c r="C130" s="20" t="s">
        <v>5</v>
      </c>
      <c r="D130" s="46" t="s">
        <v>84</v>
      </c>
      <c r="E130" s="24" t="s">
        <v>6</v>
      </c>
      <c r="F130" s="24" t="s">
        <v>7</v>
      </c>
      <c r="G130" s="24">
        <v>115.47</v>
      </c>
      <c r="H130" s="24">
        <f>4+1</f>
        <v>5</v>
      </c>
      <c r="I130" s="24">
        <v>1</v>
      </c>
      <c r="J130" s="148"/>
      <c r="K130" s="149"/>
      <c r="L130" s="150"/>
      <c r="M130" s="21"/>
    </row>
    <row r="131" spans="1:13" ht="13.5" customHeight="1" x14ac:dyDescent="0.25">
      <c r="A131" s="18">
        <v>98</v>
      </c>
      <c r="B131" s="19">
        <v>45719</v>
      </c>
      <c r="C131" s="20" t="s">
        <v>5</v>
      </c>
      <c r="D131" s="46" t="s">
        <v>85</v>
      </c>
      <c r="E131" s="24" t="s">
        <v>6</v>
      </c>
      <c r="F131" s="24" t="s">
        <v>7</v>
      </c>
      <c r="G131" s="24">
        <v>106.49</v>
      </c>
      <c r="H131" s="24">
        <f>3+1</f>
        <v>4</v>
      </c>
      <c r="I131" s="24">
        <v>1</v>
      </c>
      <c r="J131" s="148"/>
      <c r="K131" s="149"/>
      <c r="L131" s="150"/>
      <c r="M131" s="21"/>
    </row>
    <row r="132" spans="1:13" ht="13.5" customHeight="1" x14ac:dyDescent="0.25">
      <c r="A132" s="18">
        <v>99</v>
      </c>
      <c r="B132" s="19">
        <v>45719</v>
      </c>
      <c r="C132" s="20" t="s">
        <v>5</v>
      </c>
      <c r="D132" s="46" t="s">
        <v>86</v>
      </c>
      <c r="E132" s="24" t="s">
        <v>6</v>
      </c>
      <c r="F132" s="24" t="s">
        <v>7</v>
      </c>
      <c r="G132" s="24">
        <v>92.26</v>
      </c>
      <c r="H132" s="24">
        <f>2+1</f>
        <v>3</v>
      </c>
      <c r="I132" s="24">
        <v>1</v>
      </c>
      <c r="J132" s="148"/>
      <c r="K132" s="149"/>
      <c r="L132" s="150"/>
      <c r="M132" s="21"/>
    </row>
    <row r="133" spans="1:13" ht="13.5" customHeight="1" x14ac:dyDescent="0.25">
      <c r="A133" s="42">
        <v>100</v>
      </c>
      <c r="B133" s="19">
        <v>45719</v>
      </c>
      <c r="C133" s="20" t="s">
        <v>5</v>
      </c>
      <c r="D133" s="46" t="s">
        <v>87</v>
      </c>
      <c r="E133" s="24" t="s">
        <v>6</v>
      </c>
      <c r="F133" s="24" t="s">
        <v>7</v>
      </c>
      <c r="G133" s="24">
        <v>109.14</v>
      </c>
      <c r="H133" s="24">
        <v>3</v>
      </c>
      <c r="I133" s="24">
        <v>1</v>
      </c>
      <c r="J133" s="148"/>
      <c r="K133" s="149"/>
      <c r="L133" s="150"/>
      <c r="M133" s="21"/>
    </row>
    <row r="134" spans="1:13" ht="13.5" customHeight="1" x14ac:dyDescent="0.25">
      <c r="A134" s="18">
        <v>101</v>
      </c>
      <c r="B134" s="19">
        <v>45719</v>
      </c>
      <c r="C134" s="20" t="s">
        <v>5</v>
      </c>
      <c r="D134" s="46" t="s">
        <v>87</v>
      </c>
      <c r="E134" s="24" t="s">
        <v>6</v>
      </c>
      <c r="F134" s="24" t="s">
        <v>7</v>
      </c>
      <c r="G134" s="24">
        <v>114.7</v>
      </c>
      <c r="H134" s="24">
        <f>3+1</f>
        <v>4</v>
      </c>
      <c r="I134" s="24">
        <v>1</v>
      </c>
      <c r="J134" s="148"/>
      <c r="K134" s="149"/>
      <c r="L134" s="150"/>
      <c r="M134" s="21"/>
    </row>
    <row r="135" spans="1:13" ht="13.5" customHeight="1" x14ac:dyDescent="0.25">
      <c r="A135" s="18">
        <v>102</v>
      </c>
      <c r="B135" s="19">
        <v>45719</v>
      </c>
      <c r="C135" s="20" t="s">
        <v>5</v>
      </c>
      <c r="D135" s="46" t="s">
        <v>88</v>
      </c>
      <c r="E135" s="24" t="s">
        <v>6</v>
      </c>
      <c r="F135" s="24" t="s">
        <v>7</v>
      </c>
      <c r="G135" s="24">
        <v>272.32</v>
      </c>
      <c r="H135" s="24">
        <f>10+2</f>
        <v>12</v>
      </c>
      <c r="I135" s="24">
        <v>2</v>
      </c>
      <c r="J135" s="148"/>
      <c r="K135" s="149"/>
      <c r="L135" s="150"/>
      <c r="M135" s="56"/>
    </row>
    <row r="136" spans="1:13" ht="13.5" customHeight="1" x14ac:dyDescent="0.25">
      <c r="A136" s="42">
        <v>103</v>
      </c>
      <c r="B136" s="19">
        <v>45719</v>
      </c>
      <c r="C136" s="20" t="s">
        <v>5</v>
      </c>
      <c r="D136" s="103" t="s">
        <v>89</v>
      </c>
      <c r="E136" s="24" t="s">
        <v>6</v>
      </c>
      <c r="F136" s="24" t="s">
        <v>7</v>
      </c>
      <c r="G136" s="49">
        <v>190.29</v>
      </c>
      <c r="H136" s="49">
        <f>11+2</f>
        <v>13</v>
      </c>
      <c r="I136" s="49">
        <v>2</v>
      </c>
      <c r="J136" s="148"/>
      <c r="K136" s="149"/>
      <c r="L136" s="150"/>
      <c r="M136" s="57"/>
    </row>
    <row r="137" spans="1:13" ht="13.5" customHeight="1" thickBot="1" x14ac:dyDescent="0.3">
      <c r="A137" s="18">
        <v>104</v>
      </c>
      <c r="B137" s="58">
        <v>45719</v>
      </c>
      <c r="C137" s="59" t="s">
        <v>5</v>
      </c>
      <c r="D137" s="108" t="s">
        <v>90</v>
      </c>
      <c r="E137" s="59" t="s">
        <v>6</v>
      </c>
      <c r="F137" s="59" t="s">
        <v>7</v>
      </c>
      <c r="G137" s="59">
        <v>115.7</v>
      </c>
      <c r="H137" s="59">
        <f>2+1</f>
        <v>3</v>
      </c>
      <c r="I137" s="59">
        <v>1</v>
      </c>
      <c r="J137" s="153"/>
      <c r="K137" s="154"/>
      <c r="L137" s="155"/>
      <c r="M137" s="60"/>
    </row>
    <row r="138" spans="1:13" ht="13.5" customHeight="1" thickBot="1" x14ac:dyDescent="0.3">
      <c r="A138" s="151" t="s">
        <v>473</v>
      </c>
      <c r="B138" s="152"/>
      <c r="C138" s="152"/>
      <c r="D138" s="152"/>
      <c r="E138" s="152"/>
      <c r="F138" s="152"/>
      <c r="G138" s="36"/>
      <c r="H138" s="36"/>
      <c r="I138" s="36"/>
      <c r="J138" s="36"/>
      <c r="K138" s="36"/>
      <c r="L138" s="36"/>
      <c r="M138" s="37"/>
    </row>
    <row r="139" spans="1:13" ht="13.5" customHeight="1" x14ac:dyDescent="0.25">
      <c r="A139" s="61">
        <v>105</v>
      </c>
      <c r="B139" s="15">
        <v>45721</v>
      </c>
      <c r="C139" s="16" t="s">
        <v>5</v>
      </c>
      <c r="D139" s="45" t="s">
        <v>449</v>
      </c>
      <c r="E139" s="16" t="s">
        <v>6</v>
      </c>
      <c r="F139" s="16" t="s">
        <v>7</v>
      </c>
      <c r="G139" s="16">
        <f>(((4+5.4)/2)*21)+(77*7)</f>
        <v>637.70000000000005</v>
      </c>
      <c r="H139" s="16">
        <f>3+24+4</f>
        <v>31</v>
      </c>
      <c r="I139" s="16">
        <v>4</v>
      </c>
      <c r="J139" s="145" t="s">
        <v>443</v>
      </c>
      <c r="K139" s="146"/>
      <c r="L139" s="147"/>
      <c r="M139" s="17"/>
    </row>
    <row r="140" spans="1:13" ht="13.5" customHeight="1" x14ac:dyDescent="0.25">
      <c r="A140" s="18">
        <v>106</v>
      </c>
      <c r="B140" s="19">
        <v>45721</v>
      </c>
      <c r="C140" s="20" t="s">
        <v>5</v>
      </c>
      <c r="D140" s="46" t="s">
        <v>450</v>
      </c>
      <c r="E140" s="20" t="s">
        <v>6</v>
      </c>
      <c r="F140" s="20" t="s">
        <v>7</v>
      </c>
      <c r="G140" s="43">
        <f>23*8.5</f>
        <v>195.5</v>
      </c>
      <c r="H140" s="20">
        <f>7+1</f>
        <v>8</v>
      </c>
      <c r="I140" s="20">
        <v>1</v>
      </c>
      <c r="J140" s="148"/>
      <c r="K140" s="149"/>
      <c r="L140" s="150"/>
      <c r="M140" s="21"/>
    </row>
    <row r="141" spans="1:13" ht="13.5" customHeight="1" thickBot="1" x14ac:dyDescent="0.3">
      <c r="A141" s="32">
        <v>107</v>
      </c>
      <c r="B141" s="19">
        <v>45721</v>
      </c>
      <c r="C141" s="20" t="s">
        <v>5</v>
      </c>
      <c r="D141" s="46" t="s">
        <v>451</v>
      </c>
      <c r="E141" s="20" t="s">
        <v>6</v>
      </c>
      <c r="F141" s="20" t="s">
        <v>7</v>
      </c>
      <c r="G141" s="20">
        <f>(13*2.5*6)+(2*3.6*6)</f>
        <v>238.2</v>
      </c>
      <c r="H141" s="20">
        <f>13+2</f>
        <v>15</v>
      </c>
      <c r="I141" s="20">
        <v>2</v>
      </c>
      <c r="J141" s="153"/>
      <c r="K141" s="154"/>
      <c r="L141" s="155"/>
      <c r="M141" s="35"/>
    </row>
    <row r="142" spans="1:13" ht="13.5" customHeight="1" thickBot="1" x14ac:dyDescent="0.3">
      <c r="A142" s="151" t="s">
        <v>421</v>
      </c>
      <c r="B142" s="152"/>
      <c r="C142" s="152"/>
      <c r="D142" s="152"/>
      <c r="E142" s="152"/>
      <c r="F142" s="152"/>
      <c r="G142" s="12"/>
      <c r="H142" s="12"/>
      <c r="I142" s="12"/>
      <c r="J142" s="12"/>
      <c r="K142" s="12"/>
      <c r="L142" s="12"/>
      <c r="M142" s="13"/>
    </row>
    <row r="143" spans="1:13" ht="13.5" customHeight="1" x14ac:dyDescent="0.25">
      <c r="A143" s="61">
        <v>108</v>
      </c>
      <c r="B143" s="15">
        <v>45723</v>
      </c>
      <c r="C143" s="16" t="s">
        <v>5</v>
      </c>
      <c r="D143" s="45" t="s">
        <v>197</v>
      </c>
      <c r="E143" s="16" t="s">
        <v>6</v>
      </c>
      <c r="F143" s="16" t="s">
        <v>7</v>
      </c>
      <c r="G143" s="41">
        <f>((19+25)/2)*10</f>
        <v>220</v>
      </c>
      <c r="H143" s="16">
        <f>6+1</f>
        <v>7</v>
      </c>
      <c r="I143" s="16">
        <v>1</v>
      </c>
      <c r="J143" s="145" t="s">
        <v>443</v>
      </c>
      <c r="K143" s="146"/>
      <c r="L143" s="147"/>
      <c r="M143" s="17"/>
    </row>
    <row r="144" spans="1:13" ht="13.5" customHeight="1" x14ac:dyDescent="0.25">
      <c r="A144" s="18">
        <v>109</v>
      </c>
      <c r="B144" s="19">
        <v>45723</v>
      </c>
      <c r="C144" s="20" t="s">
        <v>5</v>
      </c>
      <c r="D144" s="46" t="s">
        <v>199</v>
      </c>
      <c r="E144" s="20" t="s">
        <v>6</v>
      </c>
      <c r="F144" s="20" t="s">
        <v>7</v>
      </c>
      <c r="G144" s="31">
        <f>2*7.5*2.5</f>
        <v>37.5</v>
      </c>
      <c r="H144" s="20">
        <f>1+1</f>
        <v>2</v>
      </c>
      <c r="I144" s="20">
        <v>1</v>
      </c>
      <c r="J144" s="148"/>
      <c r="K144" s="149"/>
      <c r="L144" s="150"/>
      <c r="M144" s="21"/>
    </row>
    <row r="145" spans="1:13" ht="13.5" customHeight="1" thickBot="1" x14ac:dyDescent="0.3">
      <c r="A145" s="32">
        <v>110</v>
      </c>
      <c r="B145" s="19">
        <v>45723</v>
      </c>
      <c r="C145" s="20" t="s">
        <v>5</v>
      </c>
      <c r="D145" s="46" t="s">
        <v>198</v>
      </c>
      <c r="E145" s="20" t="s">
        <v>6</v>
      </c>
      <c r="F145" s="20" t="s">
        <v>7</v>
      </c>
      <c r="G145" s="20">
        <f>8*7.65*3</f>
        <v>183.60000000000002</v>
      </c>
      <c r="H145" s="20">
        <f>7+1</f>
        <v>8</v>
      </c>
      <c r="I145" s="20">
        <v>1</v>
      </c>
      <c r="J145" s="153"/>
      <c r="K145" s="154"/>
      <c r="L145" s="155"/>
      <c r="M145" s="35"/>
    </row>
    <row r="146" spans="1:13" ht="13.5" customHeight="1" thickBot="1" x14ac:dyDescent="0.3">
      <c r="A146" s="151" t="s">
        <v>422</v>
      </c>
      <c r="B146" s="152"/>
      <c r="C146" s="152"/>
      <c r="D146" s="152"/>
      <c r="E146" s="152"/>
      <c r="F146" s="152"/>
      <c r="G146" s="12"/>
      <c r="H146" s="12"/>
      <c r="I146" s="12"/>
      <c r="J146" s="12"/>
      <c r="K146" s="12"/>
      <c r="L146" s="12"/>
      <c r="M146" s="13"/>
    </row>
    <row r="147" spans="1:13" ht="13.5" customHeight="1" x14ac:dyDescent="0.25">
      <c r="A147" s="14">
        <v>111</v>
      </c>
      <c r="B147" s="15">
        <v>45723</v>
      </c>
      <c r="C147" s="16" t="s">
        <v>5</v>
      </c>
      <c r="D147" s="45" t="s">
        <v>200</v>
      </c>
      <c r="E147" s="16" t="s">
        <v>6</v>
      </c>
      <c r="F147" s="16" t="s">
        <v>7</v>
      </c>
      <c r="G147" s="41">
        <f>(30*7.1)</f>
        <v>213</v>
      </c>
      <c r="H147" s="16">
        <f>9+1</f>
        <v>10</v>
      </c>
      <c r="I147" s="16">
        <v>1</v>
      </c>
      <c r="J147" s="145" t="s">
        <v>443</v>
      </c>
      <c r="K147" s="146"/>
      <c r="L147" s="147"/>
      <c r="M147" s="17"/>
    </row>
    <row r="148" spans="1:13" ht="13.5" customHeight="1" thickBot="1" x14ac:dyDescent="0.3">
      <c r="A148" s="18">
        <v>112</v>
      </c>
      <c r="B148" s="19">
        <v>45723</v>
      </c>
      <c r="C148" s="20" t="s">
        <v>5</v>
      </c>
      <c r="D148" s="46" t="s">
        <v>201</v>
      </c>
      <c r="E148" s="20" t="s">
        <v>6</v>
      </c>
      <c r="F148" s="20" t="s">
        <v>7</v>
      </c>
      <c r="G148" s="54">
        <f>(23*4)</f>
        <v>92</v>
      </c>
      <c r="H148" s="24">
        <f>6+1</f>
        <v>7</v>
      </c>
      <c r="I148" s="24">
        <v>1</v>
      </c>
      <c r="J148" s="148"/>
      <c r="K148" s="149"/>
      <c r="L148" s="150"/>
      <c r="M148" s="21"/>
    </row>
    <row r="149" spans="1:13" ht="13.5" customHeight="1" thickBot="1" x14ac:dyDescent="0.3">
      <c r="A149" s="151" t="s">
        <v>423</v>
      </c>
      <c r="B149" s="152"/>
      <c r="C149" s="152"/>
      <c r="D149" s="152"/>
      <c r="E149" s="152"/>
      <c r="F149" s="152"/>
      <c r="G149" s="12"/>
      <c r="H149" s="12"/>
      <c r="I149" s="12"/>
      <c r="J149" s="12"/>
      <c r="K149" s="12"/>
      <c r="L149" s="12"/>
      <c r="M149" s="13"/>
    </row>
    <row r="150" spans="1:13" ht="21.75" customHeight="1" thickBot="1" x14ac:dyDescent="0.3">
      <c r="A150" s="14">
        <v>113</v>
      </c>
      <c r="B150" s="15">
        <v>45726</v>
      </c>
      <c r="C150" s="16" t="s">
        <v>5</v>
      </c>
      <c r="D150" s="45" t="s">
        <v>202</v>
      </c>
      <c r="E150" s="16" t="s">
        <v>6</v>
      </c>
      <c r="F150" s="16" t="s">
        <v>7</v>
      </c>
      <c r="G150" s="16">
        <f>21*2.5</f>
        <v>52.5</v>
      </c>
      <c r="H150" s="16">
        <f>1+1</f>
        <v>2</v>
      </c>
      <c r="I150" s="16">
        <v>1</v>
      </c>
      <c r="J150" s="145" t="s">
        <v>443</v>
      </c>
      <c r="K150" s="146"/>
      <c r="L150" s="147"/>
      <c r="M150" s="17"/>
    </row>
    <row r="151" spans="1:13" ht="13.5" customHeight="1" thickBot="1" x14ac:dyDescent="0.3">
      <c r="A151" s="151" t="s">
        <v>424</v>
      </c>
      <c r="B151" s="152"/>
      <c r="C151" s="152"/>
      <c r="D151" s="152"/>
      <c r="E151" s="152"/>
      <c r="F151" s="152"/>
      <c r="G151" s="12"/>
      <c r="H151" s="12"/>
      <c r="I151" s="12"/>
      <c r="J151" s="12"/>
      <c r="K151" s="12"/>
      <c r="L151" s="12"/>
      <c r="M151" s="13"/>
    </row>
    <row r="152" spans="1:13" ht="21.75" customHeight="1" thickBot="1" x14ac:dyDescent="0.3">
      <c r="A152" s="14">
        <v>114</v>
      </c>
      <c r="B152" s="15">
        <v>45726</v>
      </c>
      <c r="C152" s="16" t="s">
        <v>5</v>
      </c>
      <c r="D152" s="45" t="s">
        <v>203</v>
      </c>
      <c r="E152" s="16" t="s">
        <v>6</v>
      </c>
      <c r="F152" s="16" t="s">
        <v>7</v>
      </c>
      <c r="G152" s="53">
        <f>(3*3.4*5)+(1*4*5)</f>
        <v>71</v>
      </c>
      <c r="H152" s="16">
        <f>3+1</f>
        <v>4</v>
      </c>
      <c r="I152" s="16">
        <v>1</v>
      </c>
      <c r="J152" s="145" t="s">
        <v>443</v>
      </c>
      <c r="K152" s="146"/>
      <c r="L152" s="147"/>
      <c r="M152" s="17"/>
    </row>
    <row r="153" spans="1:13" ht="13.5" customHeight="1" thickBot="1" x14ac:dyDescent="0.3">
      <c r="A153" s="151" t="s">
        <v>425</v>
      </c>
      <c r="B153" s="152"/>
      <c r="C153" s="152"/>
      <c r="D153" s="152"/>
      <c r="E153" s="152"/>
      <c r="F153" s="152"/>
      <c r="G153" s="12"/>
      <c r="H153" s="12"/>
      <c r="I153" s="12"/>
      <c r="J153" s="12"/>
      <c r="K153" s="12"/>
      <c r="L153" s="12"/>
      <c r="M153" s="13"/>
    </row>
    <row r="154" spans="1:13" ht="13.5" customHeight="1" x14ac:dyDescent="0.25">
      <c r="A154" s="14">
        <v>115</v>
      </c>
      <c r="B154" s="15">
        <v>45728</v>
      </c>
      <c r="C154" s="16" t="s">
        <v>5</v>
      </c>
      <c r="D154" s="45" t="s">
        <v>101</v>
      </c>
      <c r="E154" s="16" t="s">
        <v>6</v>
      </c>
      <c r="F154" s="16" t="s">
        <v>7</v>
      </c>
      <c r="G154" s="16">
        <f>(90*9)+26.35+21.9</f>
        <v>858.25</v>
      </c>
      <c r="H154" s="16">
        <f>5+1</f>
        <v>6</v>
      </c>
      <c r="I154" s="16">
        <v>1</v>
      </c>
      <c r="J154" s="145" t="s">
        <v>443</v>
      </c>
      <c r="K154" s="146"/>
      <c r="L154" s="147"/>
      <c r="M154" s="17"/>
    </row>
    <row r="155" spans="1:13" ht="13.5" customHeight="1" thickBot="1" x14ac:dyDescent="0.3">
      <c r="A155" s="32">
        <v>116</v>
      </c>
      <c r="B155" s="33">
        <v>45728</v>
      </c>
      <c r="C155" s="34" t="s">
        <v>5</v>
      </c>
      <c r="D155" s="105" t="s">
        <v>102</v>
      </c>
      <c r="E155" s="34" t="s">
        <v>6</v>
      </c>
      <c r="F155" s="34" t="s">
        <v>7</v>
      </c>
      <c r="G155" s="34">
        <f>2*7.5*2.7</f>
        <v>40.5</v>
      </c>
      <c r="H155" s="34">
        <v>2</v>
      </c>
      <c r="I155" s="34">
        <v>0</v>
      </c>
      <c r="J155" s="148"/>
      <c r="K155" s="149"/>
      <c r="L155" s="150"/>
      <c r="M155" s="35"/>
    </row>
    <row r="156" spans="1:13" ht="13.5" customHeight="1" thickBot="1" x14ac:dyDescent="0.3">
      <c r="A156" s="151" t="s">
        <v>145</v>
      </c>
      <c r="B156" s="152"/>
      <c r="C156" s="152"/>
      <c r="D156" s="152"/>
      <c r="E156" s="152"/>
      <c r="F156" s="152"/>
      <c r="G156" s="12"/>
      <c r="H156" s="12"/>
      <c r="I156" s="12"/>
      <c r="J156" s="12"/>
      <c r="K156" s="12"/>
      <c r="L156" s="12"/>
      <c r="M156" s="13"/>
    </row>
    <row r="157" spans="1:13" ht="21.75" customHeight="1" thickBot="1" x14ac:dyDescent="0.3">
      <c r="A157" s="14">
        <v>117</v>
      </c>
      <c r="B157" s="15">
        <v>45728</v>
      </c>
      <c r="C157" s="16" t="s">
        <v>5</v>
      </c>
      <c r="D157" s="45" t="s">
        <v>458</v>
      </c>
      <c r="E157" s="16" t="s">
        <v>6</v>
      </c>
      <c r="F157" s="16" t="s">
        <v>7</v>
      </c>
      <c r="G157" s="41">
        <f>(10.5*22)+(12*4)</f>
        <v>279</v>
      </c>
      <c r="H157" s="16">
        <f>6+1</f>
        <v>7</v>
      </c>
      <c r="I157" s="16">
        <v>1</v>
      </c>
      <c r="J157" s="145" t="s">
        <v>443</v>
      </c>
      <c r="K157" s="146"/>
      <c r="L157" s="147"/>
      <c r="M157" s="17"/>
    </row>
    <row r="158" spans="1:13" ht="13.5" customHeight="1" thickBot="1" x14ac:dyDescent="0.3">
      <c r="A158" s="151" t="s">
        <v>204</v>
      </c>
      <c r="B158" s="152"/>
      <c r="C158" s="152"/>
      <c r="D158" s="152"/>
      <c r="E158" s="152"/>
      <c r="F158" s="152"/>
      <c r="G158" s="12"/>
      <c r="H158" s="12"/>
      <c r="I158" s="12"/>
      <c r="J158" s="12"/>
      <c r="K158" s="12"/>
      <c r="L158" s="12"/>
      <c r="M158" s="13"/>
    </row>
    <row r="159" spans="1:13" ht="21.75" customHeight="1" thickBot="1" x14ac:dyDescent="0.3">
      <c r="A159" s="14">
        <v>118</v>
      </c>
      <c r="B159" s="15">
        <v>45729</v>
      </c>
      <c r="C159" s="16" t="s">
        <v>5</v>
      </c>
      <c r="D159" s="45" t="s">
        <v>459</v>
      </c>
      <c r="E159" s="16" t="s">
        <v>6</v>
      </c>
      <c r="F159" s="16" t="s">
        <v>7</v>
      </c>
      <c r="G159" s="16">
        <f>(67*8.5)</f>
        <v>569.5</v>
      </c>
      <c r="H159" s="16">
        <f>17+2</f>
        <v>19</v>
      </c>
      <c r="I159" s="16">
        <v>2</v>
      </c>
      <c r="J159" s="145" t="s">
        <v>443</v>
      </c>
      <c r="K159" s="146"/>
      <c r="L159" s="147"/>
      <c r="M159" s="17"/>
    </row>
    <row r="160" spans="1:13" ht="13.5" customHeight="1" thickBot="1" x14ac:dyDescent="0.3">
      <c r="A160" s="151" t="s">
        <v>205</v>
      </c>
      <c r="B160" s="152"/>
      <c r="C160" s="152"/>
      <c r="D160" s="152"/>
      <c r="E160" s="152"/>
      <c r="F160" s="152"/>
      <c r="G160" s="12"/>
      <c r="H160" s="12"/>
      <c r="I160" s="12"/>
      <c r="J160" s="12"/>
      <c r="K160" s="12"/>
      <c r="L160" s="12"/>
      <c r="M160" s="13"/>
    </row>
    <row r="161" spans="1:13" ht="13.5" customHeight="1" x14ac:dyDescent="0.25">
      <c r="A161" s="14">
        <v>119</v>
      </c>
      <c r="B161" s="15">
        <v>45730</v>
      </c>
      <c r="C161" s="16" t="s">
        <v>5</v>
      </c>
      <c r="D161" s="45" t="s">
        <v>206</v>
      </c>
      <c r="E161" s="16" t="s">
        <v>6</v>
      </c>
      <c r="F161" s="16" t="s">
        <v>7</v>
      </c>
      <c r="G161" s="16">
        <f>(31*3.5)</f>
        <v>108.5</v>
      </c>
      <c r="H161" s="16">
        <f>9+1</f>
        <v>10</v>
      </c>
      <c r="I161" s="16">
        <v>1</v>
      </c>
      <c r="J161" s="145" t="s">
        <v>443</v>
      </c>
      <c r="K161" s="146"/>
      <c r="L161" s="147"/>
      <c r="M161" s="17"/>
    </row>
    <row r="162" spans="1:13" ht="13.5" customHeight="1" x14ac:dyDescent="0.25">
      <c r="A162" s="18">
        <v>120</v>
      </c>
      <c r="B162" s="19">
        <v>45730</v>
      </c>
      <c r="C162" s="20" t="s">
        <v>5</v>
      </c>
      <c r="D162" s="46" t="s">
        <v>448</v>
      </c>
      <c r="E162" s="20" t="s">
        <v>6</v>
      </c>
      <c r="F162" s="20" t="s">
        <v>7</v>
      </c>
      <c r="G162" s="44">
        <f>(8*43)</f>
        <v>344</v>
      </c>
      <c r="H162" s="20">
        <f>9+1</f>
        <v>10</v>
      </c>
      <c r="I162" s="20">
        <v>1</v>
      </c>
      <c r="J162" s="148"/>
      <c r="K162" s="149"/>
      <c r="L162" s="150"/>
      <c r="M162" s="21"/>
    </row>
    <row r="163" spans="1:13" ht="13.5" customHeight="1" x14ac:dyDescent="0.25">
      <c r="A163" s="18">
        <v>121</v>
      </c>
      <c r="B163" s="19">
        <v>45730</v>
      </c>
      <c r="C163" s="20" t="s">
        <v>5</v>
      </c>
      <c r="D163" s="46" t="s">
        <v>447</v>
      </c>
      <c r="E163" s="20" t="s">
        <v>6</v>
      </c>
      <c r="F163" s="20" t="s">
        <v>7</v>
      </c>
      <c r="G163" s="44">
        <f>(8*182)</f>
        <v>1456</v>
      </c>
      <c r="H163" s="20">
        <f>53+6</f>
        <v>59</v>
      </c>
      <c r="I163" s="20">
        <v>6</v>
      </c>
      <c r="J163" s="148"/>
      <c r="K163" s="149"/>
      <c r="L163" s="150"/>
      <c r="M163" s="21"/>
    </row>
    <row r="164" spans="1:13" ht="13.5" customHeight="1" x14ac:dyDescent="0.25">
      <c r="A164" s="42">
        <v>122</v>
      </c>
      <c r="B164" s="48">
        <v>45730</v>
      </c>
      <c r="C164" s="31" t="s">
        <v>5</v>
      </c>
      <c r="D164" s="107" t="s">
        <v>207</v>
      </c>
      <c r="E164" s="31" t="s">
        <v>6</v>
      </c>
      <c r="F164" s="31" t="s">
        <v>7</v>
      </c>
      <c r="G164" s="43">
        <f>(9*3*6.2)+(2*4.5*6.2)+(10*3*6.2)+(1*4.5*6.2)</f>
        <v>437.1</v>
      </c>
      <c r="H164" s="31">
        <f>9+2+10+1</f>
        <v>22</v>
      </c>
      <c r="I164" s="31">
        <v>3</v>
      </c>
      <c r="J164" s="148"/>
      <c r="K164" s="149"/>
      <c r="L164" s="150"/>
      <c r="M164" s="39"/>
    </row>
    <row r="165" spans="1:13" ht="13.5" customHeight="1" thickBot="1" x14ac:dyDescent="0.3">
      <c r="A165" s="32">
        <v>123</v>
      </c>
      <c r="B165" s="33">
        <v>45730</v>
      </c>
      <c r="C165" s="34" t="s">
        <v>5</v>
      </c>
      <c r="D165" s="105" t="s">
        <v>208</v>
      </c>
      <c r="E165" s="34" t="s">
        <v>6</v>
      </c>
      <c r="F165" s="34" t="s">
        <v>7</v>
      </c>
      <c r="G165" s="34">
        <f>2*8.5*2.5</f>
        <v>42.5</v>
      </c>
      <c r="H165" s="34">
        <f>1+1</f>
        <v>2</v>
      </c>
      <c r="I165" s="34">
        <v>1</v>
      </c>
      <c r="J165" s="148"/>
      <c r="K165" s="149"/>
      <c r="L165" s="150"/>
      <c r="M165" s="35"/>
    </row>
    <row r="166" spans="1:13" ht="13.5" customHeight="1" thickBot="1" x14ac:dyDescent="0.3">
      <c r="A166" s="151" t="s">
        <v>209</v>
      </c>
      <c r="B166" s="152"/>
      <c r="C166" s="152"/>
      <c r="D166" s="152"/>
      <c r="E166" s="152"/>
      <c r="F166" s="152"/>
      <c r="G166" s="12"/>
      <c r="H166" s="12"/>
      <c r="I166" s="12"/>
      <c r="J166" s="12"/>
      <c r="K166" s="12"/>
      <c r="L166" s="12"/>
      <c r="M166" s="13"/>
    </row>
    <row r="167" spans="1:13" ht="21.75" customHeight="1" thickBot="1" x14ac:dyDescent="0.3">
      <c r="A167" s="14">
        <v>124</v>
      </c>
      <c r="B167" s="15">
        <v>45733</v>
      </c>
      <c r="C167" s="16" t="s">
        <v>5</v>
      </c>
      <c r="D167" s="45" t="s">
        <v>210</v>
      </c>
      <c r="E167" s="16" t="s">
        <v>6</v>
      </c>
      <c r="F167" s="16" t="s">
        <v>7</v>
      </c>
      <c r="G167" s="16">
        <f>(23*2.5*5)+(3*4*5)</f>
        <v>347.5</v>
      </c>
      <c r="H167" s="16">
        <f>22+3</f>
        <v>25</v>
      </c>
      <c r="I167" s="16">
        <v>3</v>
      </c>
      <c r="J167" s="145" t="s">
        <v>443</v>
      </c>
      <c r="K167" s="146"/>
      <c r="L167" s="147"/>
      <c r="M167" s="17"/>
    </row>
    <row r="168" spans="1:13" ht="13.5" customHeight="1" thickBot="1" x14ac:dyDescent="0.3">
      <c r="A168" s="151" t="s">
        <v>426</v>
      </c>
      <c r="B168" s="152"/>
      <c r="C168" s="152"/>
      <c r="D168" s="152"/>
      <c r="E168" s="152"/>
      <c r="F168" s="152"/>
      <c r="G168" s="36"/>
      <c r="H168" s="36"/>
      <c r="I168" s="36"/>
      <c r="J168" s="36"/>
      <c r="K168" s="36"/>
      <c r="L168" s="36"/>
      <c r="M168" s="37"/>
    </row>
    <row r="169" spans="1:13" ht="13.5" customHeight="1" x14ac:dyDescent="0.25">
      <c r="A169" s="18">
        <v>125</v>
      </c>
      <c r="B169" s="19">
        <v>45733</v>
      </c>
      <c r="C169" s="20" t="s">
        <v>5</v>
      </c>
      <c r="D169" s="46" t="s">
        <v>212</v>
      </c>
      <c r="E169" s="20" t="s">
        <v>6</v>
      </c>
      <c r="F169" s="20" t="s">
        <v>7</v>
      </c>
      <c r="G169" s="44">
        <f>3.5*42</f>
        <v>147</v>
      </c>
      <c r="H169" s="20">
        <f>4+1</f>
        <v>5</v>
      </c>
      <c r="I169" s="20">
        <v>1</v>
      </c>
      <c r="J169" s="174" t="s">
        <v>443</v>
      </c>
      <c r="K169" s="174"/>
      <c r="L169" s="174"/>
      <c r="M169" s="21"/>
    </row>
    <row r="170" spans="1:13" ht="13.5" customHeight="1" x14ac:dyDescent="0.25">
      <c r="A170" s="42">
        <v>126</v>
      </c>
      <c r="B170" s="48">
        <v>45733</v>
      </c>
      <c r="C170" s="31" t="s">
        <v>5</v>
      </c>
      <c r="D170" s="107" t="s">
        <v>212</v>
      </c>
      <c r="E170" s="31" t="s">
        <v>6</v>
      </c>
      <c r="F170" s="31" t="s">
        <v>7</v>
      </c>
      <c r="G170" s="31">
        <f>(2*7.5*3)+(1*7.5*3)</f>
        <v>67.5</v>
      </c>
      <c r="H170" s="31">
        <f>2+1</f>
        <v>3</v>
      </c>
      <c r="I170" s="31">
        <v>1</v>
      </c>
      <c r="J170" s="175"/>
      <c r="K170" s="175"/>
      <c r="L170" s="175"/>
      <c r="M170" s="39"/>
    </row>
    <row r="171" spans="1:13" ht="13.5" customHeight="1" thickBot="1" x14ac:dyDescent="0.3">
      <c r="A171" s="63">
        <v>127</v>
      </c>
      <c r="B171" s="58">
        <v>45733</v>
      </c>
      <c r="C171" s="59" t="s">
        <v>5</v>
      </c>
      <c r="D171" s="108" t="s">
        <v>211</v>
      </c>
      <c r="E171" s="59" t="s">
        <v>6</v>
      </c>
      <c r="F171" s="59" t="s">
        <v>7</v>
      </c>
      <c r="G171" s="59">
        <f>(2*7.5*3.5)+(1*7.5*3.5)</f>
        <v>78.75</v>
      </c>
      <c r="H171" s="59">
        <f>2+1</f>
        <v>3</v>
      </c>
      <c r="I171" s="59">
        <v>1</v>
      </c>
      <c r="J171" s="176"/>
      <c r="K171" s="176"/>
      <c r="L171" s="176"/>
      <c r="M171" s="60"/>
    </row>
    <row r="172" spans="1:13" ht="13.5" customHeight="1" thickBot="1" x14ac:dyDescent="0.3">
      <c r="A172" s="151" t="s">
        <v>427</v>
      </c>
      <c r="B172" s="152"/>
      <c r="C172" s="152"/>
      <c r="D172" s="152"/>
      <c r="E172" s="152"/>
      <c r="F172" s="152"/>
      <c r="G172" s="12"/>
      <c r="H172" s="12"/>
      <c r="I172" s="12"/>
      <c r="J172" s="12"/>
      <c r="K172" s="12"/>
      <c r="L172" s="12"/>
      <c r="M172" s="13"/>
    </row>
    <row r="173" spans="1:13" ht="13.5" customHeight="1" x14ac:dyDescent="0.25">
      <c r="A173" s="14">
        <v>128</v>
      </c>
      <c r="B173" s="15">
        <v>45736</v>
      </c>
      <c r="C173" s="16" t="s">
        <v>5</v>
      </c>
      <c r="D173" s="92" t="s">
        <v>34</v>
      </c>
      <c r="E173" s="38" t="s">
        <v>6</v>
      </c>
      <c r="F173" s="38" t="s">
        <v>7</v>
      </c>
      <c r="G173" s="64">
        <f>(23*5)+(38*5)+(29*5)+(36*5)+(27*5)+(31*5)+(17*5)</f>
        <v>1005</v>
      </c>
      <c r="H173" s="16">
        <f>7+1+13+1+9+1+10+1+8+1+10+1+4+1</f>
        <v>68</v>
      </c>
      <c r="I173" s="16">
        <f>1+1+1+1+1+1+1</f>
        <v>7</v>
      </c>
      <c r="J173" s="145" t="s">
        <v>443</v>
      </c>
      <c r="K173" s="146"/>
      <c r="L173" s="147"/>
      <c r="M173" s="17"/>
    </row>
    <row r="174" spans="1:13" ht="13.5" customHeight="1" x14ac:dyDescent="0.25">
      <c r="A174" s="18">
        <v>129</v>
      </c>
      <c r="B174" s="19">
        <v>45736</v>
      </c>
      <c r="C174" s="20" t="s">
        <v>5</v>
      </c>
      <c r="D174" s="103" t="s">
        <v>27</v>
      </c>
      <c r="E174" s="24" t="s">
        <v>6</v>
      </c>
      <c r="F174" s="24" t="s">
        <v>7</v>
      </c>
      <c r="G174" s="55">
        <f>23*5</f>
        <v>115</v>
      </c>
      <c r="H174" s="20">
        <f>7+1</f>
        <v>8</v>
      </c>
      <c r="I174" s="20">
        <v>1</v>
      </c>
      <c r="J174" s="148"/>
      <c r="K174" s="149"/>
      <c r="L174" s="150"/>
      <c r="M174" s="21"/>
    </row>
    <row r="175" spans="1:13" ht="13.5" customHeight="1" x14ac:dyDescent="0.25">
      <c r="A175" s="18">
        <v>130</v>
      </c>
      <c r="B175" s="19">
        <v>45736</v>
      </c>
      <c r="C175" s="20" t="s">
        <v>5</v>
      </c>
      <c r="D175" s="103" t="s">
        <v>27</v>
      </c>
      <c r="E175" s="24" t="s">
        <v>6</v>
      </c>
      <c r="F175" s="24" t="s">
        <v>7</v>
      </c>
      <c r="G175" s="40">
        <f>18*5</f>
        <v>90</v>
      </c>
      <c r="H175" s="20">
        <f>5+1</f>
        <v>6</v>
      </c>
      <c r="I175" s="20">
        <v>1</v>
      </c>
      <c r="J175" s="148"/>
      <c r="K175" s="149"/>
      <c r="L175" s="150"/>
      <c r="M175" s="21"/>
    </row>
    <row r="176" spans="1:13" ht="13.5" customHeight="1" x14ac:dyDescent="0.25">
      <c r="A176" s="18">
        <v>131</v>
      </c>
      <c r="B176" s="19">
        <v>45736</v>
      </c>
      <c r="C176" s="20" t="s">
        <v>5</v>
      </c>
      <c r="D176" s="103" t="s">
        <v>460</v>
      </c>
      <c r="E176" s="24" t="s">
        <v>6</v>
      </c>
      <c r="F176" s="24" t="s">
        <v>7</v>
      </c>
      <c r="G176" s="40">
        <f>(17.5*5)</f>
        <v>87.5</v>
      </c>
      <c r="H176" s="20">
        <f>8+1</f>
        <v>9</v>
      </c>
      <c r="I176" s="20">
        <v>1</v>
      </c>
      <c r="J176" s="148"/>
      <c r="K176" s="149"/>
      <c r="L176" s="150"/>
      <c r="M176" s="21"/>
    </row>
    <row r="177" spans="1:13" ht="13.5" customHeight="1" x14ac:dyDescent="0.25">
      <c r="A177" s="18">
        <v>132</v>
      </c>
      <c r="B177" s="19">
        <v>45736</v>
      </c>
      <c r="C177" s="20" t="s">
        <v>5</v>
      </c>
      <c r="D177" s="103" t="s">
        <v>8</v>
      </c>
      <c r="E177" s="24" t="s">
        <v>6</v>
      </c>
      <c r="F177" s="24" t="s">
        <v>7</v>
      </c>
      <c r="G177" s="24">
        <f>(30.5*5)</f>
        <v>152.5</v>
      </c>
      <c r="H177" s="20">
        <f>5+1</f>
        <v>6</v>
      </c>
      <c r="I177" s="20">
        <v>1</v>
      </c>
      <c r="J177" s="148"/>
      <c r="K177" s="149"/>
      <c r="L177" s="150"/>
      <c r="M177" s="21"/>
    </row>
    <row r="178" spans="1:13" ht="13.5" customHeight="1" x14ac:dyDescent="0.25">
      <c r="A178" s="18">
        <v>133</v>
      </c>
      <c r="B178" s="19">
        <v>45736</v>
      </c>
      <c r="C178" s="20" t="s">
        <v>5</v>
      </c>
      <c r="D178" s="103" t="s">
        <v>28</v>
      </c>
      <c r="E178" s="24" t="s">
        <v>6</v>
      </c>
      <c r="F178" s="24" t="s">
        <v>7</v>
      </c>
      <c r="G178" s="24">
        <f>25.5*5</f>
        <v>127.5</v>
      </c>
      <c r="H178" s="20">
        <f>7+1</f>
        <v>8</v>
      </c>
      <c r="I178" s="20">
        <v>1</v>
      </c>
      <c r="J178" s="148"/>
      <c r="K178" s="149"/>
      <c r="L178" s="150"/>
      <c r="M178" s="21"/>
    </row>
    <row r="179" spans="1:13" ht="13.5" customHeight="1" x14ac:dyDescent="0.25">
      <c r="A179" s="18">
        <v>134</v>
      </c>
      <c r="B179" s="19">
        <v>45736</v>
      </c>
      <c r="C179" s="20" t="s">
        <v>5</v>
      </c>
      <c r="D179" s="103" t="s">
        <v>29</v>
      </c>
      <c r="E179" s="24" t="s">
        <v>6</v>
      </c>
      <c r="F179" s="24" t="s">
        <v>7</v>
      </c>
      <c r="G179" s="40">
        <f>(29*5)+(25.6*5)</f>
        <v>273</v>
      </c>
      <c r="H179" s="20">
        <f>10+1+8+1</f>
        <v>20</v>
      </c>
      <c r="I179" s="20">
        <f>1+1</f>
        <v>2</v>
      </c>
      <c r="J179" s="148"/>
      <c r="K179" s="149"/>
      <c r="L179" s="150"/>
      <c r="M179" s="21"/>
    </row>
    <row r="180" spans="1:13" ht="13.5" customHeight="1" x14ac:dyDescent="0.25">
      <c r="A180" s="18">
        <v>135</v>
      </c>
      <c r="B180" s="19">
        <v>45736</v>
      </c>
      <c r="C180" s="20" t="s">
        <v>5</v>
      </c>
      <c r="D180" s="103" t="s">
        <v>30</v>
      </c>
      <c r="E180" s="24" t="s">
        <v>6</v>
      </c>
      <c r="F180" s="24" t="s">
        <v>7</v>
      </c>
      <c r="G180" s="24">
        <f>(20*5)+(28.5*5)+(20*5)</f>
        <v>342.5</v>
      </c>
      <c r="H180" s="20">
        <f>6+1+9+1+6+1</f>
        <v>24</v>
      </c>
      <c r="I180" s="20">
        <f>1+1+1</f>
        <v>3</v>
      </c>
      <c r="J180" s="148"/>
      <c r="K180" s="149"/>
      <c r="L180" s="150"/>
      <c r="M180" s="21"/>
    </row>
    <row r="181" spans="1:13" ht="13.5" customHeight="1" x14ac:dyDescent="0.25">
      <c r="A181" s="18">
        <v>136</v>
      </c>
      <c r="B181" s="19">
        <v>45736</v>
      </c>
      <c r="C181" s="20" t="s">
        <v>5</v>
      </c>
      <c r="D181" s="103" t="s">
        <v>461</v>
      </c>
      <c r="E181" s="24" t="s">
        <v>6</v>
      </c>
      <c r="F181" s="24" t="s">
        <v>7</v>
      </c>
      <c r="G181" s="40">
        <f>(29*5)</f>
        <v>145</v>
      </c>
      <c r="H181" s="20">
        <f>9+1</f>
        <v>10</v>
      </c>
      <c r="I181" s="20">
        <v>1</v>
      </c>
      <c r="J181" s="148"/>
      <c r="K181" s="149"/>
      <c r="L181" s="150"/>
      <c r="M181" s="21"/>
    </row>
    <row r="182" spans="1:13" ht="13.5" customHeight="1" x14ac:dyDescent="0.25">
      <c r="A182" s="18">
        <v>137</v>
      </c>
      <c r="B182" s="19">
        <v>45736</v>
      </c>
      <c r="C182" s="20" t="s">
        <v>5</v>
      </c>
      <c r="D182" s="103" t="s">
        <v>462</v>
      </c>
      <c r="E182" s="24" t="s">
        <v>6</v>
      </c>
      <c r="F182" s="24" t="s">
        <v>7</v>
      </c>
      <c r="G182" s="24">
        <f>(12.5*5)</f>
        <v>62.5</v>
      </c>
      <c r="H182" s="20">
        <f>3+1</f>
        <v>4</v>
      </c>
      <c r="I182" s="20">
        <v>1</v>
      </c>
      <c r="J182" s="148"/>
      <c r="K182" s="149"/>
      <c r="L182" s="150"/>
      <c r="M182" s="21"/>
    </row>
    <row r="183" spans="1:13" ht="13.5" customHeight="1" x14ac:dyDescent="0.25">
      <c r="A183" s="18">
        <v>138</v>
      </c>
      <c r="B183" s="19">
        <v>45736</v>
      </c>
      <c r="C183" s="20" t="s">
        <v>5</v>
      </c>
      <c r="D183" s="103" t="s">
        <v>31</v>
      </c>
      <c r="E183" s="24" t="s">
        <v>6</v>
      </c>
      <c r="F183" s="24" t="s">
        <v>7</v>
      </c>
      <c r="G183" s="40">
        <f>28*5</f>
        <v>140</v>
      </c>
      <c r="H183" s="20">
        <f>9+1</f>
        <v>10</v>
      </c>
      <c r="I183" s="20">
        <v>1</v>
      </c>
      <c r="J183" s="148"/>
      <c r="K183" s="149"/>
      <c r="L183" s="150"/>
      <c r="M183" s="21"/>
    </row>
    <row r="184" spans="1:13" ht="13.5" customHeight="1" x14ac:dyDescent="0.25">
      <c r="A184" s="18">
        <v>139</v>
      </c>
      <c r="B184" s="19">
        <v>45736</v>
      </c>
      <c r="C184" s="20" t="s">
        <v>5</v>
      </c>
      <c r="D184" s="103" t="s">
        <v>32</v>
      </c>
      <c r="E184" s="24" t="s">
        <v>6</v>
      </c>
      <c r="F184" s="24" t="s">
        <v>7</v>
      </c>
      <c r="G184" s="24">
        <f>23.5*5</f>
        <v>117.5</v>
      </c>
      <c r="H184" s="20">
        <f>7+1</f>
        <v>8</v>
      </c>
      <c r="I184" s="20">
        <v>1</v>
      </c>
      <c r="J184" s="148"/>
      <c r="K184" s="149"/>
      <c r="L184" s="150"/>
      <c r="M184" s="21"/>
    </row>
    <row r="185" spans="1:13" ht="13.5" customHeight="1" x14ac:dyDescent="0.25">
      <c r="A185" s="18">
        <v>140</v>
      </c>
      <c r="B185" s="19">
        <v>45736</v>
      </c>
      <c r="C185" s="20" t="s">
        <v>5</v>
      </c>
      <c r="D185" s="103" t="s">
        <v>33</v>
      </c>
      <c r="E185" s="24" t="s">
        <v>6</v>
      </c>
      <c r="F185" s="24" t="s">
        <v>7</v>
      </c>
      <c r="G185" s="24">
        <f>(49.5*5)-5</f>
        <v>242.5</v>
      </c>
      <c r="H185" s="20">
        <f>11+2</f>
        <v>13</v>
      </c>
      <c r="I185" s="20">
        <v>2</v>
      </c>
      <c r="J185" s="148"/>
      <c r="K185" s="149"/>
      <c r="L185" s="150"/>
      <c r="M185" s="21"/>
    </row>
    <row r="186" spans="1:13" ht="13.5" customHeight="1" x14ac:dyDescent="0.25">
      <c r="A186" s="18">
        <v>141</v>
      </c>
      <c r="B186" s="19">
        <v>45736</v>
      </c>
      <c r="C186" s="20" t="s">
        <v>5</v>
      </c>
      <c r="D186" s="103" t="s">
        <v>35</v>
      </c>
      <c r="E186" s="24" t="s">
        <v>6</v>
      </c>
      <c r="F186" s="24" t="s">
        <v>7</v>
      </c>
      <c r="G186" s="24">
        <f>(29.5*5)</f>
        <v>147.5</v>
      </c>
      <c r="H186" s="24">
        <f>8+2</f>
        <v>10</v>
      </c>
      <c r="I186" s="24">
        <v>2</v>
      </c>
      <c r="J186" s="148"/>
      <c r="K186" s="149"/>
      <c r="L186" s="150"/>
      <c r="M186" s="21"/>
    </row>
    <row r="187" spans="1:13" ht="13.5" customHeight="1" x14ac:dyDescent="0.25">
      <c r="A187" s="18">
        <v>142</v>
      </c>
      <c r="B187" s="19">
        <v>45736</v>
      </c>
      <c r="C187" s="20" t="s">
        <v>5</v>
      </c>
      <c r="D187" s="103" t="s">
        <v>463</v>
      </c>
      <c r="E187" s="24" t="s">
        <v>6</v>
      </c>
      <c r="F187" s="24" t="s">
        <v>7</v>
      </c>
      <c r="G187" s="24">
        <f>(13.5*5)</f>
        <v>67.5</v>
      </c>
      <c r="H187" s="24">
        <f>2+1</f>
        <v>3</v>
      </c>
      <c r="I187" s="24">
        <v>1</v>
      </c>
      <c r="J187" s="148"/>
      <c r="K187" s="149"/>
      <c r="L187" s="150"/>
      <c r="M187" s="21"/>
    </row>
    <row r="188" spans="1:13" ht="13.5" customHeight="1" x14ac:dyDescent="0.25">
      <c r="A188" s="18">
        <v>143</v>
      </c>
      <c r="B188" s="19">
        <v>45736</v>
      </c>
      <c r="C188" s="20" t="s">
        <v>5</v>
      </c>
      <c r="D188" s="103" t="s">
        <v>36</v>
      </c>
      <c r="E188" s="24" t="s">
        <v>6</v>
      </c>
      <c r="F188" s="24" t="s">
        <v>7</v>
      </c>
      <c r="G188" s="24">
        <f>(18*4.6)+(26*4.6)+(32*4.6)+(35*4.7)+(18*4.7)</f>
        <v>598.69999999999993</v>
      </c>
      <c r="H188" s="24">
        <f>5+1+8+1+10+1+11+2+5</f>
        <v>44</v>
      </c>
      <c r="I188" s="24">
        <f>1+1+1+2+0</f>
        <v>5</v>
      </c>
      <c r="J188" s="148"/>
      <c r="K188" s="149"/>
      <c r="L188" s="150"/>
      <c r="M188" s="21"/>
    </row>
    <row r="189" spans="1:13" ht="13.5" customHeight="1" x14ac:dyDescent="0.25">
      <c r="A189" s="18">
        <v>144</v>
      </c>
      <c r="B189" s="19">
        <v>45736</v>
      </c>
      <c r="C189" s="20" t="s">
        <v>5</v>
      </c>
      <c r="D189" s="103" t="s">
        <v>444</v>
      </c>
      <c r="E189" s="24" t="s">
        <v>6</v>
      </c>
      <c r="F189" s="24" t="s">
        <v>7</v>
      </c>
      <c r="G189" s="24">
        <f>31*12.8</f>
        <v>396.8</v>
      </c>
      <c r="H189" s="24">
        <f>9+2</f>
        <v>11</v>
      </c>
      <c r="I189" s="24">
        <v>2</v>
      </c>
      <c r="J189" s="148"/>
      <c r="K189" s="149"/>
      <c r="L189" s="150"/>
      <c r="M189" s="21"/>
    </row>
    <row r="190" spans="1:13" ht="13.5" customHeight="1" x14ac:dyDescent="0.25">
      <c r="A190" s="18">
        <v>145</v>
      </c>
      <c r="B190" s="19">
        <v>45736</v>
      </c>
      <c r="C190" s="20" t="s">
        <v>5</v>
      </c>
      <c r="D190" s="103" t="s">
        <v>37</v>
      </c>
      <c r="E190" s="24" t="s">
        <v>6</v>
      </c>
      <c r="F190" s="24" t="s">
        <v>7</v>
      </c>
      <c r="G190" s="24">
        <f>(28*5)+(41*5)+(30*5)+(26.5*5)+(19*5)</f>
        <v>722.5</v>
      </c>
      <c r="H190" s="24">
        <f>8+2+14+1+10+1+8+1+6+1</f>
        <v>52</v>
      </c>
      <c r="I190" s="24">
        <f>2+1+1+1+1</f>
        <v>6</v>
      </c>
      <c r="J190" s="148"/>
      <c r="K190" s="149"/>
      <c r="L190" s="150"/>
      <c r="M190" s="21"/>
    </row>
    <row r="191" spans="1:13" ht="13.5" customHeight="1" x14ac:dyDescent="0.25">
      <c r="A191" s="18">
        <v>146</v>
      </c>
      <c r="B191" s="19">
        <v>45736</v>
      </c>
      <c r="C191" s="20" t="s">
        <v>5</v>
      </c>
      <c r="D191" s="103" t="s">
        <v>38</v>
      </c>
      <c r="E191" s="24" t="s">
        <v>6</v>
      </c>
      <c r="F191" s="24" t="s">
        <v>7</v>
      </c>
      <c r="G191" s="24">
        <f>(32*5)+(31*5)</f>
        <v>315</v>
      </c>
      <c r="H191" s="24">
        <f>10+2+10+1</f>
        <v>23</v>
      </c>
      <c r="I191" s="24">
        <v>2</v>
      </c>
      <c r="J191" s="148"/>
      <c r="K191" s="149"/>
      <c r="L191" s="150"/>
      <c r="M191" s="21"/>
    </row>
    <row r="192" spans="1:13" ht="13.5" customHeight="1" x14ac:dyDescent="0.25">
      <c r="A192" s="18">
        <v>147</v>
      </c>
      <c r="B192" s="19">
        <v>45736</v>
      </c>
      <c r="C192" s="20" t="s">
        <v>5</v>
      </c>
      <c r="D192" s="103" t="s">
        <v>39</v>
      </c>
      <c r="E192" s="24" t="s">
        <v>6</v>
      </c>
      <c r="F192" s="24" t="s">
        <v>7</v>
      </c>
      <c r="G192" s="24">
        <f>26.5*5</f>
        <v>132.5</v>
      </c>
      <c r="H192" s="24">
        <f>9+1</f>
        <v>10</v>
      </c>
      <c r="I192" s="24">
        <v>1</v>
      </c>
      <c r="J192" s="148"/>
      <c r="K192" s="149"/>
      <c r="L192" s="150"/>
      <c r="M192" s="21"/>
    </row>
    <row r="193" spans="1:13" ht="13.5" customHeight="1" x14ac:dyDescent="0.25">
      <c r="A193" s="18">
        <v>148</v>
      </c>
      <c r="B193" s="19">
        <v>45736</v>
      </c>
      <c r="C193" s="20" t="s">
        <v>5</v>
      </c>
      <c r="D193" s="103" t="s">
        <v>40</v>
      </c>
      <c r="E193" s="24" t="s">
        <v>6</v>
      </c>
      <c r="F193" s="24" t="s">
        <v>7</v>
      </c>
      <c r="G193" s="24">
        <f>(28*4.1)+(25*3.9)</f>
        <v>212.29999999999998</v>
      </c>
      <c r="H193" s="24">
        <f>3+3+1</f>
        <v>7</v>
      </c>
      <c r="I193" s="24">
        <v>1</v>
      </c>
      <c r="J193" s="148"/>
      <c r="K193" s="149"/>
      <c r="L193" s="150"/>
      <c r="M193" s="21"/>
    </row>
    <row r="194" spans="1:13" ht="13.5" customHeight="1" x14ac:dyDescent="0.25">
      <c r="A194" s="18">
        <v>149</v>
      </c>
      <c r="B194" s="19">
        <v>45736</v>
      </c>
      <c r="C194" s="20" t="s">
        <v>5</v>
      </c>
      <c r="D194" s="103" t="s">
        <v>41</v>
      </c>
      <c r="E194" s="24" t="s">
        <v>6</v>
      </c>
      <c r="F194" s="24" t="s">
        <v>7</v>
      </c>
      <c r="G194" s="40">
        <f>(34*5)+(22*5)+(32*5)+(24*5)</f>
        <v>560</v>
      </c>
      <c r="H194" s="24">
        <f>11+2+7+1+11+1+8+1</f>
        <v>42</v>
      </c>
      <c r="I194" s="24">
        <f>2+1+1+1</f>
        <v>5</v>
      </c>
      <c r="J194" s="148"/>
      <c r="K194" s="149"/>
      <c r="L194" s="150"/>
      <c r="M194" s="21"/>
    </row>
    <row r="195" spans="1:13" ht="13.5" customHeight="1" x14ac:dyDescent="0.25">
      <c r="A195" s="18">
        <v>150</v>
      </c>
      <c r="B195" s="19">
        <v>45736</v>
      </c>
      <c r="C195" s="20" t="s">
        <v>5</v>
      </c>
      <c r="D195" s="103" t="s">
        <v>42</v>
      </c>
      <c r="E195" s="24" t="s">
        <v>6</v>
      </c>
      <c r="F195" s="24" t="s">
        <v>7</v>
      </c>
      <c r="G195" s="40">
        <f>28*5</f>
        <v>140</v>
      </c>
      <c r="H195" s="24">
        <f>9+1</f>
        <v>10</v>
      </c>
      <c r="I195" s="24">
        <v>1</v>
      </c>
      <c r="J195" s="148"/>
      <c r="K195" s="149"/>
      <c r="L195" s="150"/>
      <c r="M195" s="21"/>
    </row>
    <row r="196" spans="1:13" ht="13.5" customHeight="1" x14ac:dyDescent="0.25">
      <c r="A196" s="18">
        <v>151</v>
      </c>
      <c r="B196" s="19">
        <v>45736</v>
      </c>
      <c r="C196" s="20" t="s">
        <v>5</v>
      </c>
      <c r="D196" s="103" t="s">
        <v>43</v>
      </c>
      <c r="E196" s="24" t="s">
        <v>6</v>
      </c>
      <c r="F196" s="24" t="s">
        <v>7</v>
      </c>
      <c r="G196" s="55">
        <f>(27*5)+(25*5)</f>
        <v>260</v>
      </c>
      <c r="H196" s="49">
        <f>9+1+8+1</f>
        <v>19</v>
      </c>
      <c r="I196" s="49">
        <f>1+1</f>
        <v>2</v>
      </c>
      <c r="J196" s="148"/>
      <c r="K196" s="149"/>
      <c r="L196" s="150"/>
      <c r="M196" s="39"/>
    </row>
    <row r="197" spans="1:13" ht="13.5" customHeight="1" thickBot="1" x14ac:dyDescent="0.3">
      <c r="A197" s="18">
        <v>152</v>
      </c>
      <c r="B197" s="19">
        <v>45736</v>
      </c>
      <c r="C197" s="59" t="s">
        <v>5</v>
      </c>
      <c r="D197" s="109" t="s">
        <v>44</v>
      </c>
      <c r="E197" s="65" t="s">
        <v>6</v>
      </c>
      <c r="F197" s="65" t="s">
        <v>7</v>
      </c>
      <c r="G197" s="66">
        <f>36*5</f>
        <v>180</v>
      </c>
      <c r="H197" s="59">
        <f>12+2</f>
        <v>14</v>
      </c>
      <c r="I197" s="59">
        <v>2</v>
      </c>
      <c r="J197" s="153"/>
      <c r="K197" s="154"/>
      <c r="L197" s="155"/>
      <c r="M197" s="60"/>
    </row>
    <row r="198" spans="1:13" ht="13.5" customHeight="1" thickBot="1" x14ac:dyDescent="0.3">
      <c r="A198" s="151" t="s">
        <v>428</v>
      </c>
      <c r="B198" s="152"/>
      <c r="C198" s="152"/>
      <c r="D198" s="152"/>
      <c r="E198" s="152"/>
      <c r="F198" s="152"/>
      <c r="G198" s="12"/>
      <c r="H198" s="12"/>
      <c r="I198" s="12"/>
      <c r="J198" s="12"/>
      <c r="K198" s="12"/>
      <c r="L198" s="12"/>
      <c r="M198" s="13"/>
    </row>
    <row r="199" spans="1:13" ht="13.5" customHeight="1" x14ac:dyDescent="0.25">
      <c r="A199" s="61">
        <v>153</v>
      </c>
      <c r="B199" s="15">
        <v>45740</v>
      </c>
      <c r="C199" s="16" t="s">
        <v>5</v>
      </c>
      <c r="D199" s="92" t="s">
        <v>464</v>
      </c>
      <c r="E199" s="38" t="s">
        <v>6</v>
      </c>
      <c r="F199" s="38" t="s">
        <v>7</v>
      </c>
      <c r="G199" s="64">
        <f>(38*4)</f>
        <v>152</v>
      </c>
      <c r="H199" s="16">
        <f>8+1</f>
        <v>9</v>
      </c>
      <c r="I199" s="16">
        <v>1</v>
      </c>
      <c r="J199" s="145" t="s">
        <v>443</v>
      </c>
      <c r="K199" s="146"/>
      <c r="L199" s="147"/>
      <c r="M199" s="17"/>
    </row>
    <row r="200" spans="1:13" ht="13.5" customHeight="1" x14ac:dyDescent="0.25">
      <c r="A200" s="22">
        <v>154</v>
      </c>
      <c r="B200" s="19">
        <v>45740</v>
      </c>
      <c r="C200" s="20" t="s">
        <v>5</v>
      </c>
      <c r="D200" s="103" t="s">
        <v>113</v>
      </c>
      <c r="E200" s="24" t="s">
        <v>6</v>
      </c>
      <c r="F200" s="24" t="s">
        <v>7</v>
      </c>
      <c r="G200" s="24">
        <f>(45.5*3)</f>
        <v>136.5</v>
      </c>
      <c r="H200" s="20">
        <f>5+1</f>
        <v>6</v>
      </c>
      <c r="I200" s="20">
        <v>1</v>
      </c>
      <c r="J200" s="148"/>
      <c r="K200" s="149"/>
      <c r="L200" s="150"/>
      <c r="M200" s="21"/>
    </row>
    <row r="201" spans="1:13" ht="13.5" customHeight="1" x14ac:dyDescent="0.25">
      <c r="A201" s="42">
        <v>155</v>
      </c>
      <c r="B201" s="19">
        <v>45740</v>
      </c>
      <c r="C201" s="20" t="s">
        <v>5</v>
      </c>
      <c r="D201" s="103" t="s">
        <v>114</v>
      </c>
      <c r="E201" s="24" t="s">
        <v>6</v>
      </c>
      <c r="F201" s="24" t="s">
        <v>7</v>
      </c>
      <c r="G201" s="49">
        <f>(3*7.5*2.5)+6.5</f>
        <v>62.75</v>
      </c>
      <c r="H201" s="20">
        <f>2+1</f>
        <v>3</v>
      </c>
      <c r="I201" s="20">
        <v>1</v>
      </c>
      <c r="J201" s="148"/>
      <c r="K201" s="149"/>
      <c r="L201" s="150"/>
      <c r="M201" s="21"/>
    </row>
    <row r="202" spans="1:13" ht="13.5" customHeight="1" x14ac:dyDescent="0.25">
      <c r="A202" s="22">
        <v>156</v>
      </c>
      <c r="B202" s="19">
        <v>45740</v>
      </c>
      <c r="C202" s="20" t="s">
        <v>5</v>
      </c>
      <c r="D202" s="103" t="s">
        <v>115</v>
      </c>
      <c r="E202" s="24" t="s">
        <v>6</v>
      </c>
      <c r="F202" s="24" t="s">
        <v>7</v>
      </c>
      <c r="G202" s="40">
        <f>3*8*2.5</f>
        <v>60</v>
      </c>
      <c r="H202" s="20">
        <f>2+1</f>
        <v>3</v>
      </c>
      <c r="I202" s="20">
        <v>1</v>
      </c>
      <c r="J202" s="148"/>
      <c r="K202" s="149"/>
      <c r="L202" s="150"/>
      <c r="M202" s="21"/>
    </row>
    <row r="203" spans="1:13" ht="13.5" customHeight="1" x14ac:dyDescent="0.25">
      <c r="A203" s="22">
        <v>157</v>
      </c>
      <c r="B203" s="19">
        <v>45740</v>
      </c>
      <c r="C203" s="20" t="s">
        <v>5</v>
      </c>
      <c r="D203" s="103" t="s">
        <v>116</v>
      </c>
      <c r="E203" s="24" t="s">
        <v>6</v>
      </c>
      <c r="F203" s="24" t="s">
        <v>7</v>
      </c>
      <c r="G203" s="24">
        <f>2*7.5*3.5</f>
        <v>52.5</v>
      </c>
      <c r="H203" s="20">
        <f>1+1</f>
        <v>2</v>
      </c>
      <c r="I203" s="20">
        <v>1</v>
      </c>
      <c r="J203" s="148"/>
      <c r="K203" s="149"/>
      <c r="L203" s="150"/>
      <c r="M203" s="21"/>
    </row>
    <row r="204" spans="1:13" ht="13.5" customHeight="1" x14ac:dyDescent="0.25">
      <c r="A204" s="42">
        <v>158</v>
      </c>
      <c r="B204" s="19">
        <v>45740</v>
      </c>
      <c r="C204" s="20" t="s">
        <v>5</v>
      </c>
      <c r="D204" s="103" t="s">
        <v>117</v>
      </c>
      <c r="E204" s="24" t="s">
        <v>6</v>
      </c>
      <c r="F204" s="24" t="s">
        <v>7</v>
      </c>
      <c r="G204" s="24">
        <f>(22*2.8*7)+(2*4.8*7)</f>
        <v>498.39999999999992</v>
      </c>
      <c r="H204" s="20">
        <f>21+3</f>
        <v>24</v>
      </c>
      <c r="I204" s="20">
        <v>3</v>
      </c>
      <c r="J204" s="148"/>
      <c r="K204" s="149"/>
      <c r="L204" s="150"/>
      <c r="M204" s="21"/>
    </row>
    <row r="205" spans="1:13" ht="13.5" customHeight="1" x14ac:dyDescent="0.25">
      <c r="A205" s="22">
        <v>159</v>
      </c>
      <c r="B205" s="19">
        <v>45740</v>
      </c>
      <c r="C205" s="20" t="s">
        <v>5</v>
      </c>
      <c r="D205" s="103" t="s">
        <v>118</v>
      </c>
      <c r="E205" s="24" t="s">
        <v>6</v>
      </c>
      <c r="F205" s="24" t="s">
        <v>7</v>
      </c>
      <c r="G205" s="24">
        <f>(39.5*2.5)+(15*2.5)</f>
        <v>136.25</v>
      </c>
      <c r="H205" s="20">
        <f>4+1+2</f>
        <v>7</v>
      </c>
      <c r="I205" s="20">
        <v>1</v>
      </c>
      <c r="J205" s="148"/>
      <c r="K205" s="149"/>
      <c r="L205" s="150"/>
      <c r="M205" s="21"/>
    </row>
    <row r="206" spans="1:13" ht="13.5" customHeight="1" x14ac:dyDescent="0.25">
      <c r="A206" s="22">
        <v>160</v>
      </c>
      <c r="B206" s="19">
        <v>45740</v>
      </c>
      <c r="C206" s="20" t="s">
        <v>5</v>
      </c>
      <c r="D206" s="103" t="s">
        <v>119</v>
      </c>
      <c r="E206" s="24" t="s">
        <v>6</v>
      </c>
      <c r="F206" s="24" t="s">
        <v>7</v>
      </c>
      <c r="G206" s="24">
        <f>(17*2.6*6)+(3*4*6)</f>
        <v>337.20000000000005</v>
      </c>
      <c r="H206" s="20">
        <f>18+2</f>
        <v>20</v>
      </c>
      <c r="I206" s="20">
        <v>2</v>
      </c>
      <c r="J206" s="148"/>
      <c r="K206" s="149"/>
      <c r="L206" s="150"/>
      <c r="M206" s="21"/>
    </row>
    <row r="207" spans="1:13" ht="13.5" customHeight="1" thickBot="1" x14ac:dyDescent="0.3">
      <c r="A207" s="18">
        <v>161</v>
      </c>
      <c r="B207" s="33">
        <v>45740</v>
      </c>
      <c r="C207" s="34" t="s">
        <v>5</v>
      </c>
      <c r="D207" s="104" t="s">
        <v>120</v>
      </c>
      <c r="E207" s="28" t="s">
        <v>6</v>
      </c>
      <c r="F207" s="28" t="s">
        <v>7</v>
      </c>
      <c r="G207" s="28">
        <f>84*4.4</f>
        <v>369.6</v>
      </c>
      <c r="H207" s="34">
        <f>19+3</f>
        <v>22</v>
      </c>
      <c r="I207" s="34">
        <v>3</v>
      </c>
      <c r="J207" s="148"/>
      <c r="K207" s="149"/>
      <c r="L207" s="150"/>
      <c r="M207" s="35"/>
    </row>
    <row r="208" spans="1:13" ht="13.5" customHeight="1" thickBot="1" x14ac:dyDescent="0.3">
      <c r="A208" s="151" t="s">
        <v>429</v>
      </c>
      <c r="B208" s="152"/>
      <c r="C208" s="152"/>
      <c r="D208" s="152"/>
      <c r="E208" s="152"/>
      <c r="F208" s="152"/>
      <c r="G208" s="12"/>
      <c r="H208" s="12"/>
      <c r="I208" s="12"/>
      <c r="J208" s="12"/>
      <c r="K208" s="12"/>
      <c r="L208" s="12"/>
      <c r="M208" s="13"/>
    </row>
    <row r="209" spans="1:13" ht="13.5" customHeight="1" x14ac:dyDescent="0.25">
      <c r="A209" s="61">
        <v>162</v>
      </c>
      <c r="B209" s="15">
        <v>45740</v>
      </c>
      <c r="C209" s="16" t="s">
        <v>5</v>
      </c>
      <c r="D209" s="45" t="s">
        <v>213</v>
      </c>
      <c r="E209" s="16" t="s">
        <v>6</v>
      </c>
      <c r="F209" s="16" t="s">
        <v>7</v>
      </c>
      <c r="G209" s="64">
        <f>(31*5)</f>
        <v>155</v>
      </c>
      <c r="H209" s="16">
        <f>9+1</f>
        <v>10</v>
      </c>
      <c r="I209" s="16">
        <v>1</v>
      </c>
      <c r="J209" s="145" t="s">
        <v>443</v>
      </c>
      <c r="K209" s="146"/>
      <c r="L209" s="147"/>
      <c r="M209" s="17"/>
    </row>
    <row r="210" spans="1:13" ht="13.5" customHeight="1" x14ac:dyDescent="0.25">
      <c r="A210" s="18">
        <v>163</v>
      </c>
      <c r="B210" s="19">
        <v>45740</v>
      </c>
      <c r="C210" s="20" t="s">
        <v>5</v>
      </c>
      <c r="D210" s="46" t="s">
        <v>214</v>
      </c>
      <c r="E210" s="20" t="s">
        <v>6</v>
      </c>
      <c r="F210" s="20" t="s">
        <v>7</v>
      </c>
      <c r="G210" s="40">
        <f>(7*3.5*7.5)+(1*3.5*7.5)-3.5*2</f>
        <v>203</v>
      </c>
      <c r="H210" s="20">
        <f>7+1</f>
        <v>8</v>
      </c>
      <c r="I210" s="20">
        <v>1</v>
      </c>
      <c r="J210" s="148"/>
      <c r="K210" s="149"/>
      <c r="L210" s="150"/>
      <c r="M210" s="21"/>
    </row>
    <row r="211" spans="1:13" ht="13.5" customHeight="1" x14ac:dyDescent="0.25">
      <c r="A211" s="18">
        <v>164</v>
      </c>
      <c r="B211" s="19">
        <v>45740</v>
      </c>
      <c r="C211" s="20" t="s">
        <v>5</v>
      </c>
      <c r="D211" s="46" t="s">
        <v>215</v>
      </c>
      <c r="E211" s="20" t="s">
        <v>6</v>
      </c>
      <c r="F211" s="20" t="s">
        <v>7</v>
      </c>
      <c r="G211" s="24">
        <f>(26*2.7*7)+(3*4*7)</f>
        <v>575.40000000000009</v>
      </c>
      <c r="H211" s="20">
        <f>26+3</f>
        <v>29</v>
      </c>
      <c r="I211" s="20">
        <v>3</v>
      </c>
      <c r="J211" s="148"/>
      <c r="K211" s="149"/>
      <c r="L211" s="150"/>
      <c r="M211" s="21"/>
    </row>
    <row r="212" spans="1:13" ht="13.5" customHeight="1" x14ac:dyDescent="0.25">
      <c r="A212" s="18">
        <v>165</v>
      </c>
      <c r="B212" s="19">
        <v>45740</v>
      </c>
      <c r="C212" s="20" t="s">
        <v>5</v>
      </c>
      <c r="D212" s="46" t="s">
        <v>216</v>
      </c>
      <c r="E212" s="20" t="s">
        <v>6</v>
      </c>
      <c r="F212" s="20" t="s">
        <v>7</v>
      </c>
      <c r="G212" s="24">
        <f>(15*2.5*(5+6))+(2*4*(6+5))</f>
        <v>500.5</v>
      </c>
      <c r="H212" s="20">
        <f>15+2</f>
        <v>17</v>
      </c>
      <c r="I212" s="20">
        <v>2</v>
      </c>
      <c r="J212" s="148"/>
      <c r="K212" s="149"/>
      <c r="L212" s="150"/>
      <c r="M212" s="21"/>
    </row>
    <row r="213" spans="1:13" ht="13.5" customHeight="1" thickBot="1" x14ac:dyDescent="0.3">
      <c r="A213" s="32">
        <v>166</v>
      </c>
      <c r="B213" s="33">
        <v>45740</v>
      </c>
      <c r="C213" s="34" t="s">
        <v>5</v>
      </c>
      <c r="D213" s="105" t="s">
        <v>217</v>
      </c>
      <c r="E213" s="34" t="s">
        <v>6</v>
      </c>
      <c r="F213" s="34" t="s">
        <v>7</v>
      </c>
      <c r="G213" s="67">
        <f>((10*2.5)+(2*3.6))*(5+5)</f>
        <v>322</v>
      </c>
      <c r="H213" s="34">
        <f>10+2</f>
        <v>12</v>
      </c>
      <c r="I213" s="34">
        <v>2</v>
      </c>
      <c r="J213" s="148"/>
      <c r="K213" s="149"/>
      <c r="L213" s="150"/>
      <c r="M213" s="35"/>
    </row>
    <row r="214" spans="1:13" ht="13.5" customHeight="1" thickBot="1" x14ac:dyDescent="0.3">
      <c r="A214" s="151" t="s">
        <v>218</v>
      </c>
      <c r="B214" s="152"/>
      <c r="C214" s="152"/>
      <c r="D214" s="152"/>
      <c r="E214" s="152"/>
      <c r="F214" s="152"/>
      <c r="G214" s="12"/>
      <c r="H214" s="12"/>
      <c r="I214" s="12"/>
      <c r="J214" s="12"/>
      <c r="K214" s="12"/>
      <c r="L214" s="12"/>
      <c r="M214" s="13"/>
    </row>
    <row r="215" spans="1:13" ht="13.5" customHeight="1" x14ac:dyDescent="0.25">
      <c r="A215" s="61">
        <v>167</v>
      </c>
      <c r="B215" s="15">
        <v>45742</v>
      </c>
      <c r="C215" s="16" t="s">
        <v>5</v>
      </c>
      <c r="D215" s="45" t="s">
        <v>219</v>
      </c>
      <c r="E215" s="16" t="s">
        <v>6</v>
      </c>
      <c r="F215" s="16" t="s">
        <v>7</v>
      </c>
      <c r="G215" s="41">
        <f>(29.5*12)</f>
        <v>354</v>
      </c>
      <c r="H215" s="16">
        <f>8+1</f>
        <v>9</v>
      </c>
      <c r="I215" s="16">
        <v>1</v>
      </c>
      <c r="J215" s="145" t="s">
        <v>443</v>
      </c>
      <c r="K215" s="146"/>
      <c r="L215" s="147"/>
      <c r="M215" s="17"/>
    </row>
    <row r="216" spans="1:13" ht="13.5" customHeight="1" x14ac:dyDescent="0.25">
      <c r="A216" s="18">
        <v>168</v>
      </c>
      <c r="B216" s="19">
        <v>45742</v>
      </c>
      <c r="C216" s="20" t="s">
        <v>5</v>
      </c>
      <c r="D216" s="46" t="s">
        <v>220</v>
      </c>
      <c r="E216" s="20" t="s">
        <v>6</v>
      </c>
      <c r="F216" s="20" t="s">
        <v>7</v>
      </c>
      <c r="G216" s="43">
        <f>(41*12)+(14*6)</f>
        <v>576</v>
      </c>
      <c r="H216" s="20">
        <f>12+2</f>
        <v>14</v>
      </c>
      <c r="I216" s="20">
        <v>2</v>
      </c>
      <c r="J216" s="148"/>
      <c r="K216" s="149"/>
      <c r="L216" s="150"/>
      <c r="M216" s="21"/>
    </row>
    <row r="217" spans="1:13" ht="13.5" customHeight="1" x14ac:dyDescent="0.25">
      <c r="A217" s="18">
        <v>169</v>
      </c>
      <c r="B217" s="19">
        <v>45742</v>
      </c>
      <c r="C217" s="20" t="s">
        <v>5</v>
      </c>
      <c r="D217" s="46" t="s">
        <v>221</v>
      </c>
      <c r="E217" s="20" t="s">
        <v>6</v>
      </c>
      <c r="F217" s="20" t="s">
        <v>7</v>
      </c>
      <c r="G217" s="44">
        <f>21*3</f>
        <v>63</v>
      </c>
      <c r="H217" s="20">
        <f>1+1</f>
        <v>2</v>
      </c>
      <c r="I217" s="20">
        <v>1</v>
      </c>
      <c r="J217" s="148"/>
      <c r="K217" s="149"/>
      <c r="L217" s="150"/>
      <c r="M217" s="21"/>
    </row>
    <row r="218" spans="1:13" ht="13.5" customHeight="1" x14ac:dyDescent="0.25">
      <c r="A218" s="18">
        <v>170</v>
      </c>
      <c r="B218" s="19">
        <v>45742</v>
      </c>
      <c r="C218" s="20" t="s">
        <v>5</v>
      </c>
      <c r="D218" s="46" t="s">
        <v>222</v>
      </c>
      <c r="E218" s="20" t="s">
        <v>6</v>
      </c>
      <c r="F218" s="20" t="s">
        <v>7</v>
      </c>
      <c r="G218" s="20">
        <f>(4*8*2.5)+(1*8*2.5)</f>
        <v>100</v>
      </c>
      <c r="H218" s="20">
        <f>4+1</f>
        <v>5</v>
      </c>
      <c r="I218" s="20">
        <v>1</v>
      </c>
      <c r="J218" s="148"/>
      <c r="K218" s="149"/>
      <c r="L218" s="150"/>
      <c r="M218" s="21"/>
    </row>
    <row r="219" spans="1:13" ht="13.5" customHeight="1" x14ac:dyDescent="0.25">
      <c r="A219" s="18">
        <v>171</v>
      </c>
      <c r="B219" s="19">
        <v>45742</v>
      </c>
      <c r="C219" s="20" t="s">
        <v>5</v>
      </c>
      <c r="D219" s="46" t="s">
        <v>223</v>
      </c>
      <c r="E219" s="20" t="s">
        <v>6</v>
      </c>
      <c r="F219" s="20" t="s">
        <v>7</v>
      </c>
      <c r="G219" s="20">
        <f>(4*7.5*3.5)+(1*7.5*3.5)</f>
        <v>131.25</v>
      </c>
      <c r="H219" s="20">
        <f>4+1</f>
        <v>5</v>
      </c>
      <c r="I219" s="20">
        <v>1</v>
      </c>
      <c r="J219" s="148"/>
      <c r="K219" s="149"/>
      <c r="L219" s="150"/>
      <c r="M219" s="21"/>
    </row>
    <row r="220" spans="1:13" ht="13.5" customHeight="1" thickBot="1" x14ac:dyDescent="0.3">
      <c r="A220" s="32">
        <v>172</v>
      </c>
      <c r="B220" s="33">
        <v>45742</v>
      </c>
      <c r="C220" s="34" t="s">
        <v>5</v>
      </c>
      <c r="D220" s="105" t="s">
        <v>224</v>
      </c>
      <c r="E220" s="34" t="s">
        <v>6</v>
      </c>
      <c r="F220" s="34" t="s">
        <v>7</v>
      </c>
      <c r="G220" s="67">
        <f>(4*3.5*5)+(1*4*5)</f>
        <v>90</v>
      </c>
      <c r="H220" s="34">
        <f>4+1</f>
        <v>5</v>
      </c>
      <c r="I220" s="34">
        <v>1</v>
      </c>
      <c r="J220" s="153"/>
      <c r="K220" s="154"/>
      <c r="L220" s="155"/>
      <c r="M220" s="35"/>
    </row>
    <row r="221" spans="1:13" ht="13.5" customHeight="1" thickBot="1" x14ac:dyDescent="0.3">
      <c r="A221" s="151" t="s">
        <v>430</v>
      </c>
      <c r="B221" s="152"/>
      <c r="C221" s="152"/>
      <c r="D221" s="152"/>
      <c r="E221" s="152"/>
      <c r="F221" s="152"/>
      <c r="G221" s="12"/>
      <c r="H221" s="12"/>
      <c r="I221" s="12"/>
      <c r="J221" s="12"/>
      <c r="K221" s="12"/>
      <c r="L221" s="12"/>
      <c r="M221" s="13"/>
    </row>
    <row r="222" spans="1:13" ht="21.75" customHeight="1" thickBot="1" x14ac:dyDescent="0.3">
      <c r="A222" s="14">
        <v>173</v>
      </c>
      <c r="B222" s="15">
        <v>45742</v>
      </c>
      <c r="C222" s="16" t="s">
        <v>5</v>
      </c>
      <c r="D222" s="45" t="s">
        <v>121</v>
      </c>
      <c r="E222" s="16" t="s">
        <v>6</v>
      </c>
      <c r="F222" s="16" t="s">
        <v>7</v>
      </c>
      <c r="G222" s="53">
        <f>(8*3.5*5)+(1*4*5)</f>
        <v>160</v>
      </c>
      <c r="H222" s="16">
        <f>8+1</f>
        <v>9</v>
      </c>
      <c r="I222" s="16">
        <v>1</v>
      </c>
      <c r="J222" s="145" t="s">
        <v>443</v>
      </c>
      <c r="K222" s="146"/>
      <c r="L222" s="147"/>
      <c r="M222" s="17"/>
    </row>
    <row r="223" spans="1:13" ht="13.5" customHeight="1" thickBot="1" x14ac:dyDescent="0.3">
      <c r="A223" s="151" t="s">
        <v>431</v>
      </c>
      <c r="B223" s="152"/>
      <c r="C223" s="152"/>
      <c r="D223" s="152"/>
      <c r="E223" s="152"/>
      <c r="F223" s="36"/>
      <c r="G223" s="36"/>
      <c r="H223" s="36"/>
      <c r="I223" s="36"/>
      <c r="J223" s="36"/>
      <c r="K223" s="36"/>
      <c r="L223" s="36"/>
      <c r="M223" s="37"/>
    </row>
    <row r="224" spans="1:13" ht="13.5" customHeight="1" x14ac:dyDescent="0.25">
      <c r="A224" s="18">
        <v>174</v>
      </c>
      <c r="B224" s="19">
        <v>45748</v>
      </c>
      <c r="C224" s="20" t="s">
        <v>5</v>
      </c>
      <c r="D224" s="46" t="s">
        <v>10</v>
      </c>
      <c r="E224" s="20" t="s">
        <v>6</v>
      </c>
      <c r="F224" s="20" t="s">
        <v>7</v>
      </c>
      <c r="G224" s="20">
        <f>(7*8*2.5)+(1*8*3.7)</f>
        <v>169.6</v>
      </c>
      <c r="H224" s="20">
        <v>8</v>
      </c>
      <c r="I224" s="20">
        <v>1</v>
      </c>
      <c r="J224" s="148" t="s">
        <v>443</v>
      </c>
      <c r="K224" s="149"/>
      <c r="L224" s="150"/>
      <c r="M224" s="68"/>
    </row>
    <row r="225" spans="1:13" ht="13.5" customHeight="1" x14ac:dyDescent="0.25">
      <c r="A225" s="42">
        <v>175</v>
      </c>
      <c r="B225" s="48">
        <v>45748</v>
      </c>
      <c r="C225" s="31" t="s">
        <v>5</v>
      </c>
      <c r="D225" s="107" t="s">
        <v>11</v>
      </c>
      <c r="E225" s="31" t="s">
        <v>6</v>
      </c>
      <c r="F225" s="31" t="s">
        <v>7</v>
      </c>
      <c r="G225" s="31">
        <f>(10*8.5*2.5)+(1*9*3.7)</f>
        <v>245.8</v>
      </c>
      <c r="H225" s="31">
        <v>11</v>
      </c>
      <c r="I225" s="31">
        <v>1</v>
      </c>
      <c r="J225" s="148"/>
      <c r="K225" s="149"/>
      <c r="L225" s="150"/>
      <c r="M225" s="69"/>
    </row>
    <row r="226" spans="1:13" ht="13.5" customHeight="1" x14ac:dyDescent="0.25">
      <c r="A226" s="42">
        <v>176</v>
      </c>
      <c r="B226" s="48">
        <v>45748</v>
      </c>
      <c r="C226" s="31" t="s">
        <v>5</v>
      </c>
      <c r="D226" s="107" t="s">
        <v>12</v>
      </c>
      <c r="E226" s="31" t="s">
        <v>6</v>
      </c>
      <c r="F226" s="31" t="s">
        <v>7</v>
      </c>
      <c r="G226" s="43">
        <f>3*8*2.5</f>
        <v>60</v>
      </c>
      <c r="H226" s="31">
        <f>2+1</f>
        <v>3</v>
      </c>
      <c r="I226" s="31">
        <v>1</v>
      </c>
      <c r="J226" s="148"/>
      <c r="K226" s="149"/>
      <c r="L226" s="150"/>
      <c r="M226" s="69"/>
    </row>
    <row r="227" spans="1:13" ht="13.5" customHeight="1" x14ac:dyDescent="0.25">
      <c r="A227" s="42">
        <v>177</v>
      </c>
      <c r="B227" s="48">
        <v>45748</v>
      </c>
      <c r="C227" s="31" t="s">
        <v>5</v>
      </c>
      <c r="D227" s="107" t="s">
        <v>13</v>
      </c>
      <c r="E227" s="31" t="s">
        <v>6</v>
      </c>
      <c r="F227" s="31" t="s">
        <v>7</v>
      </c>
      <c r="G227" s="31">
        <f>(25*7.5*2.5)+(7.5*3.7)</f>
        <v>496.5</v>
      </c>
      <c r="H227" s="31">
        <f>23+3</f>
        <v>26</v>
      </c>
      <c r="I227" s="31">
        <v>3</v>
      </c>
      <c r="J227" s="148"/>
      <c r="K227" s="149"/>
      <c r="L227" s="150"/>
      <c r="M227" s="69"/>
    </row>
    <row r="228" spans="1:13" ht="13.5" customHeight="1" x14ac:dyDescent="0.25">
      <c r="A228" s="42">
        <v>178</v>
      </c>
      <c r="B228" s="48">
        <v>45748</v>
      </c>
      <c r="C228" s="31" t="s">
        <v>5</v>
      </c>
      <c r="D228" s="107" t="s">
        <v>14</v>
      </c>
      <c r="E228" s="31" t="s">
        <v>6</v>
      </c>
      <c r="F228" s="31" t="s">
        <v>7</v>
      </c>
      <c r="G228" s="31">
        <f>(23*5.3)+(48.5*5.3)+(4*6.5)</f>
        <v>404.95</v>
      </c>
      <c r="H228" s="31">
        <f>16+2</f>
        <v>18</v>
      </c>
      <c r="I228" s="31">
        <v>2</v>
      </c>
      <c r="J228" s="148"/>
      <c r="K228" s="149"/>
      <c r="L228" s="150"/>
      <c r="M228" s="69"/>
    </row>
    <row r="229" spans="1:13" ht="13.5" customHeight="1" x14ac:dyDescent="0.25">
      <c r="A229" s="42">
        <v>179</v>
      </c>
      <c r="B229" s="48">
        <v>45748</v>
      </c>
      <c r="C229" s="31" t="s">
        <v>5</v>
      </c>
      <c r="D229" s="106" t="s">
        <v>453</v>
      </c>
      <c r="E229" s="70" t="s">
        <v>6</v>
      </c>
      <c r="F229" s="70" t="s">
        <v>7</v>
      </c>
      <c r="G229" s="70">
        <f>(37.5*6)+(40*6)</f>
        <v>465</v>
      </c>
      <c r="H229" s="49">
        <f>(12*2)+(13+2)</f>
        <v>39</v>
      </c>
      <c r="I229" s="49">
        <v>4</v>
      </c>
      <c r="J229" s="148"/>
      <c r="K229" s="149"/>
      <c r="L229" s="150"/>
      <c r="M229" s="69"/>
    </row>
    <row r="230" spans="1:13" ht="13.5" customHeight="1" x14ac:dyDescent="0.25">
      <c r="A230" s="42">
        <v>180</v>
      </c>
      <c r="B230" s="48">
        <v>45748</v>
      </c>
      <c r="C230" s="31" t="s">
        <v>5</v>
      </c>
      <c r="D230" s="110" t="s">
        <v>15</v>
      </c>
      <c r="E230" s="71" t="s">
        <v>6</v>
      </c>
      <c r="F230" s="71" t="s">
        <v>7</v>
      </c>
      <c r="G230" s="72">
        <f>(8*8.5*3.7)</f>
        <v>251.60000000000002</v>
      </c>
      <c r="H230" s="31">
        <v>8</v>
      </c>
      <c r="I230" s="31">
        <v>1</v>
      </c>
      <c r="J230" s="148"/>
      <c r="K230" s="149"/>
      <c r="L230" s="150"/>
      <c r="M230" s="69"/>
    </row>
    <row r="231" spans="1:13" ht="13.5" customHeight="1" x14ac:dyDescent="0.25">
      <c r="A231" s="42">
        <v>181</v>
      </c>
      <c r="B231" s="48">
        <v>45748</v>
      </c>
      <c r="C231" s="73" t="s">
        <v>5</v>
      </c>
      <c r="D231" s="106" t="s">
        <v>16</v>
      </c>
      <c r="E231" s="49" t="s">
        <v>6</v>
      </c>
      <c r="F231" s="49" t="s">
        <v>7</v>
      </c>
      <c r="G231" s="49">
        <f>(4*7.5*2.2)+(1*7.5*3)</f>
        <v>88.5</v>
      </c>
      <c r="H231" s="74">
        <v>5</v>
      </c>
      <c r="I231" s="49">
        <v>1</v>
      </c>
      <c r="J231" s="148"/>
      <c r="K231" s="149"/>
      <c r="L231" s="150"/>
      <c r="M231" s="75"/>
    </row>
    <row r="232" spans="1:13" ht="13.5" customHeight="1" x14ac:dyDescent="0.25">
      <c r="A232" s="42">
        <v>182</v>
      </c>
      <c r="B232" s="48">
        <v>45748</v>
      </c>
      <c r="C232" s="73" t="s">
        <v>5</v>
      </c>
      <c r="D232" s="106" t="s">
        <v>465</v>
      </c>
      <c r="E232" s="49" t="s">
        <v>6</v>
      </c>
      <c r="F232" s="49" t="s">
        <v>7</v>
      </c>
      <c r="G232" s="49">
        <f>(5*2.5*7.5)+(1*3.7*7.5)</f>
        <v>121.5</v>
      </c>
      <c r="H232" s="74">
        <v>6</v>
      </c>
      <c r="I232" s="49">
        <v>1</v>
      </c>
      <c r="J232" s="148"/>
      <c r="K232" s="149"/>
      <c r="L232" s="150"/>
      <c r="M232" s="75"/>
    </row>
    <row r="233" spans="1:13" ht="13.5" customHeight="1" x14ac:dyDescent="0.25">
      <c r="A233" s="42">
        <v>183</v>
      </c>
      <c r="B233" s="48">
        <v>45748</v>
      </c>
      <c r="C233" s="73" t="s">
        <v>5</v>
      </c>
      <c r="D233" s="106" t="s">
        <v>17</v>
      </c>
      <c r="E233" s="49" t="s">
        <v>6</v>
      </c>
      <c r="F233" s="49" t="s">
        <v>7</v>
      </c>
      <c r="G233" s="55">
        <f>(7*2.5*7.5)+(1*3.7*7.5)</f>
        <v>159</v>
      </c>
      <c r="H233" s="74">
        <v>8</v>
      </c>
      <c r="I233" s="49">
        <v>1</v>
      </c>
      <c r="J233" s="148"/>
      <c r="K233" s="149"/>
      <c r="L233" s="150"/>
      <c r="M233" s="75"/>
    </row>
    <row r="234" spans="1:13" ht="13.5" customHeight="1" x14ac:dyDescent="0.25">
      <c r="A234" s="42">
        <v>184</v>
      </c>
      <c r="B234" s="48">
        <v>45748</v>
      </c>
      <c r="C234" s="73" t="s">
        <v>5</v>
      </c>
      <c r="D234" s="106" t="s">
        <v>18</v>
      </c>
      <c r="E234" s="49" t="s">
        <v>6</v>
      </c>
      <c r="F234" s="49" t="s">
        <v>7</v>
      </c>
      <c r="G234" s="55">
        <f>(7*2.5*7.5)+(1*3.7*7.5)</f>
        <v>159</v>
      </c>
      <c r="H234" s="74">
        <v>8</v>
      </c>
      <c r="I234" s="49">
        <v>1</v>
      </c>
      <c r="J234" s="148"/>
      <c r="K234" s="149"/>
      <c r="L234" s="150"/>
      <c r="M234" s="75"/>
    </row>
    <row r="235" spans="1:13" ht="13.5" customHeight="1" x14ac:dyDescent="0.25">
      <c r="A235" s="42">
        <v>185</v>
      </c>
      <c r="B235" s="48">
        <v>45748</v>
      </c>
      <c r="C235" s="73" t="s">
        <v>5</v>
      </c>
      <c r="D235" s="106" t="s">
        <v>9</v>
      </c>
      <c r="E235" s="49" t="s">
        <v>6</v>
      </c>
      <c r="F235" s="49" t="s">
        <v>7</v>
      </c>
      <c r="G235" s="49">
        <f>(5*2.5*7.5)+(1*3.7*7.5)</f>
        <v>121.5</v>
      </c>
      <c r="H235" s="74">
        <v>6</v>
      </c>
      <c r="I235" s="49">
        <v>1</v>
      </c>
      <c r="J235" s="148"/>
      <c r="K235" s="149"/>
      <c r="L235" s="150"/>
      <c r="M235" s="75"/>
    </row>
    <row r="236" spans="1:13" ht="13.5" customHeight="1" x14ac:dyDescent="0.25">
      <c r="A236" s="42">
        <v>186</v>
      </c>
      <c r="B236" s="48">
        <v>45748</v>
      </c>
      <c r="C236" s="31" t="s">
        <v>5</v>
      </c>
      <c r="D236" s="46" t="s">
        <v>19</v>
      </c>
      <c r="E236" s="20" t="s">
        <v>6</v>
      </c>
      <c r="F236" s="20" t="s">
        <v>7</v>
      </c>
      <c r="G236" s="20">
        <f>5.3*32.5</f>
        <v>172.25</v>
      </c>
      <c r="H236" s="31">
        <f>7+1</f>
        <v>8</v>
      </c>
      <c r="I236" s="31">
        <v>1</v>
      </c>
      <c r="J236" s="148"/>
      <c r="K236" s="149"/>
      <c r="L236" s="150"/>
      <c r="M236" s="69"/>
    </row>
    <row r="237" spans="1:13" ht="13.5" customHeight="1" x14ac:dyDescent="0.25">
      <c r="A237" s="42">
        <v>187</v>
      </c>
      <c r="B237" s="48">
        <v>45748</v>
      </c>
      <c r="C237" s="31" t="s">
        <v>5</v>
      </c>
      <c r="D237" s="107" t="s">
        <v>20</v>
      </c>
      <c r="E237" s="31" t="s">
        <v>6</v>
      </c>
      <c r="F237" s="31" t="s">
        <v>7</v>
      </c>
      <c r="G237" s="31">
        <f>57*5.3</f>
        <v>302.09999999999997</v>
      </c>
      <c r="H237" s="31">
        <f>13+2</f>
        <v>15</v>
      </c>
      <c r="I237" s="31">
        <v>2</v>
      </c>
      <c r="J237" s="148"/>
      <c r="K237" s="149"/>
      <c r="L237" s="150"/>
      <c r="M237" s="69"/>
    </row>
    <row r="238" spans="1:13" ht="13.5" customHeight="1" x14ac:dyDescent="0.25">
      <c r="A238" s="42">
        <v>188</v>
      </c>
      <c r="B238" s="48">
        <v>45748</v>
      </c>
      <c r="C238" s="31" t="s">
        <v>5</v>
      </c>
      <c r="D238" s="107" t="s">
        <v>21</v>
      </c>
      <c r="E238" s="31" t="s">
        <v>6</v>
      </c>
      <c r="F238" s="31" t="s">
        <v>7</v>
      </c>
      <c r="G238" s="31">
        <f>(22*5.3)+(15*5.3)+(4*6.8)</f>
        <v>223.29999999999998</v>
      </c>
      <c r="H238" s="31">
        <v>9</v>
      </c>
      <c r="I238" s="31">
        <v>1</v>
      </c>
      <c r="J238" s="148"/>
      <c r="K238" s="149"/>
      <c r="L238" s="150"/>
      <c r="M238" s="69"/>
    </row>
    <row r="239" spans="1:13" ht="13.5" customHeight="1" x14ac:dyDescent="0.25">
      <c r="A239" s="42">
        <v>189</v>
      </c>
      <c r="B239" s="48">
        <v>45748</v>
      </c>
      <c r="C239" s="31" t="s">
        <v>5</v>
      </c>
      <c r="D239" s="107" t="s">
        <v>22</v>
      </c>
      <c r="E239" s="31" t="s">
        <v>6</v>
      </c>
      <c r="F239" s="31" t="s">
        <v>7</v>
      </c>
      <c r="G239" s="31">
        <f>(30*5.3)+(22.7*5.3)+(4*6.5)</f>
        <v>305.31</v>
      </c>
      <c r="H239" s="31">
        <f>11+2</f>
        <v>13</v>
      </c>
      <c r="I239" s="31">
        <v>2</v>
      </c>
      <c r="J239" s="148"/>
      <c r="K239" s="149"/>
      <c r="L239" s="150"/>
      <c r="M239" s="69"/>
    </row>
    <row r="240" spans="1:13" ht="13.5" customHeight="1" x14ac:dyDescent="0.25">
      <c r="A240" s="42">
        <v>190</v>
      </c>
      <c r="B240" s="48">
        <v>45748</v>
      </c>
      <c r="C240" s="31" t="s">
        <v>5</v>
      </c>
      <c r="D240" s="107" t="s">
        <v>23</v>
      </c>
      <c r="E240" s="31" t="s">
        <v>6</v>
      </c>
      <c r="F240" s="31" t="s">
        <v>7</v>
      </c>
      <c r="G240" s="43">
        <f>28*5</f>
        <v>140</v>
      </c>
      <c r="H240" s="31">
        <f>3+1</f>
        <v>4</v>
      </c>
      <c r="I240" s="31">
        <v>1</v>
      </c>
      <c r="J240" s="148"/>
      <c r="K240" s="149"/>
      <c r="L240" s="150"/>
      <c r="M240" s="69"/>
    </row>
    <row r="241" spans="1:13" ht="13.5" customHeight="1" x14ac:dyDescent="0.25">
      <c r="A241" s="42">
        <v>191</v>
      </c>
      <c r="B241" s="48">
        <v>45748</v>
      </c>
      <c r="C241" s="31" t="s">
        <v>5</v>
      </c>
      <c r="D241" s="107" t="s">
        <v>24</v>
      </c>
      <c r="E241" s="31" t="s">
        <v>6</v>
      </c>
      <c r="F241" s="31" t="s">
        <v>7</v>
      </c>
      <c r="G241" s="31">
        <f>(50*5.3)+(4*6.8)</f>
        <v>292.2</v>
      </c>
      <c r="H241" s="31">
        <f>12+2</f>
        <v>14</v>
      </c>
      <c r="I241" s="31">
        <v>2</v>
      </c>
      <c r="J241" s="148"/>
      <c r="K241" s="149"/>
      <c r="L241" s="150"/>
      <c r="M241" s="69"/>
    </row>
    <row r="242" spans="1:13" ht="13.5" customHeight="1" x14ac:dyDescent="0.25">
      <c r="A242" s="42">
        <v>192</v>
      </c>
      <c r="B242" s="48">
        <v>45748</v>
      </c>
      <c r="C242" s="31" t="s">
        <v>5</v>
      </c>
      <c r="D242" s="107" t="s">
        <v>25</v>
      </c>
      <c r="E242" s="31" t="s">
        <v>6</v>
      </c>
      <c r="F242" s="31" t="s">
        <v>7</v>
      </c>
      <c r="G242" s="31">
        <f>(12*7.5*2.5)+(1*7.5*3.7)</f>
        <v>252.75</v>
      </c>
      <c r="H242" s="31">
        <f>11+2</f>
        <v>13</v>
      </c>
      <c r="I242" s="31">
        <v>2</v>
      </c>
      <c r="J242" s="148"/>
      <c r="K242" s="149"/>
      <c r="L242" s="150"/>
      <c r="M242" s="69"/>
    </row>
    <row r="243" spans="1:13" ht="13.5" customHeight="1" thickBot="1" x14ac:dyDescent="0.3">
      <c r="A243" s="42">
        <v>193</v>
      </c>
      <c r="B243" s="76">
        <v>45748</v>
      </c>
      <c r="C243" s="71" t="s">
        <v>5</v>
      </c>
      <c r="D243" s="110" t="s">
        <v>26</v>
      </c>
      <c r="E243" s="71" t="s">
        <v>6</v>
      </c>
      <c r="F243" s="71" t="s">
        <v>7</v>
      </c>
      <c r="G243" s="71">
        <f>(8*7.5*2.5)+(1*7.5*3.7)+5</f>
        <v>182.75</v>
      </c>
      <c r="H243" s="71">
        <v>9</v>
      </c>
      <c r="I243" s="71">
        <v>1</v>
      </c>
      <c r="J243" s="153"/>
      <c r="K243" s="154"/>
      <c r="L243" s="155"/>
      <c r="M243" s="77"/>
    </row>
    <row r="244" spans="1:13" ht="13.5" customHeight="1" thickBot="1" x14ac:dyDescent="0.3">
      <c r="A244" s="151" t="s">
        <v>225</v>
      </c>
      <c r="B244" s="152"/>
      <c r="C244" s="152"/>
      <c r="D244" s="152"/>
      <c r="E244" s="152"/>
      <c r="F244" s="152"/>
      <c r="G244" s="12"/>
      <c r="H244" s="12"/>
      <c r="I244" s="12"/>
      <c r="J244" s="12"/>
      <c r="K244" s="12"/>
      <c r="L244" s="12"/>
      <c r="M244" s="13"/>
    </row>
    <row r="245" spans="1:13" ht="21.75" customHeight="1" thickBot="1" x14ac:dyDescent="0.3">
      <c r="A245" s="14">
        <v>194</v>
      </c>
      <c r="B245" s="15">
        <v>45754</v>
      </c>
      <c r="C245" s="16" t="s">
        <v>5</v>
      </c>
      <c r="D245" s="45" t="s">
        <v>226</v>
      </c>
      <c r="E245" s="16" t="s">
        <v>6</v>
      </c>
      <c r="F245" s="16" t="s">
        <v>7</v>
      </c>
      <c r="G245" s="16">
        <f>(7*2.5*5)+(1*3.6*6)+8</f>
        <v>117.1</v>
      </c>
      <c r="H245" s="16">
        <f>7+1</f>
        <v>8</v>
      </c>
      <c r="I245" s="16">
        <v>1</v>
      </c>
      <c r="J245" s="145" t="s">
        <v>443</v>
      </c>
      <c r="K245" s="146"/>
      <c r="L245" s="147"/>
      <c r="M245" s="17"/>
    </row>
    <row r="246" spans="1:13" ht="13.5" customHeight="1" thickBot="1" x14ac:dyDescent="0.3">
      <c r="A246" s="151" t="s">
        <v>227</v>
      </c>
      <c r="B246" s="152"/>
      <c r="C246" s="152"/>
      <c r="D246" s="152"/>
      <c r="E246" s="152"/>
      <c r="F246" s="152"/>
      <c r="G246" s="12"/>
      <c r="H246" s="12"/>
      <c r="I246" s="12"/>
      <c r="J246" s="12"/>
      <c r="K246" s="12"/>
      <c r="L246" s="12"/>
      <c r="M246" s="13"/>
    </row>
    <row r="247" spans="1:13" ht="21.75" customHeight="1" thickBot="1" x14ac:dyDescent="0.3">
      <c r="A247" s="14">
        <v>195</v>
      </c>
      <c r="B247" s="15">
        <v>45754</v>
      </c>
      <c r="C247" s="16" t="s">
        <v>5</v>
      </c>
      <c r="D247" s="45" t="s">
        <v>228</v>
      </c>
      <c r="E247" s="16" t="s">
        <v>6</v>
      </c>
      <c r="F247" s="16" t="s">
        <v>7</v>
      </c>
      <c r="G247" s="41">
        <f>(4*3.1*4)+(1*5*4)</f>
        <v>69.599999999999994</v>
      </c>
      <c r="H247" s="16">
        <f>4+1</f>
        <v>5</v>
      </c>
      <c r="I247" s="16">
        <v>1</v>
      </c>
      <c r="J247" s="145" t="s">
        <v>443</v>
      </c>
      <c r="K247" s="146"/>
      <c r="L247" s="147"/>
      <c r="M247" s="17"/>
    </row>
    <row r="248" spans="1:13" ht="13.5" customHeight="1" thickBot="1" x14ac:dyDescent="0.3">
      <c r="A248" s="151" t="s">
        <v>432</v>
      </c>
      <c r="B248" s="152"/>
      <c r="C248" s="152"/>
      <c r="D248" s="152"/>
      <c r="E248" s="152"/>
      <c r="F248" s="152"/>
      <c r="G248" s="12"/>
      <c r="H248" s="12"/>
      <c r="I248" s="12"/>
      <c r="J248" s="12"/>
      <c r="K248" s="12"/>
      <c r="L248" s="12"/>
      <c r="M248" s="13"/>
    </row>
    <row r="249" spans="1:13" ht="13.5" customHeight="1" x14ac:dyDescent="0.25">
      <c r="A249" s="61">
        <v>196</v>
      </c>
      <c r="B249" s="15">
        <v>45754</v>
      </c>
      <c r="C249" s="16" t="s">
        <v>5</v>
      </c>
      <c r="D249" s="45" t="s">
        <v>122</v>
      </c>
      <c r="E249" s="16" t="s">
        <v>6</v>
      </c>
      <c r="F249" s="16" t="s">
        <v>7</v>
      </c>
      <c r="G249" s="41">
        <f>(27*3.8)+(33*3.8)</f>
        <v>228</v>
      </c>
      <c r="H249" s="16">
        <f>7+1+9+1</f>
        <v>18</v>
      </c>
      <c r="I249" s="16">
        <v>2</v>
      </c>
      <c r="J249" s="145" t="s">
        <v>443</v>
      </c>
      <c r="K249" s="146"/>
      <c r="L249" s="147"/>
      <c r="M249" s="17"/>
    </row>
    <row r="250" spans="1:13" ht="13.5" customHeight="1" x14ac:dyDescent="0.25">
      <c r="A250" s="18">
        <v>197</v>
      </c>
      <c r="B250" s="19">
        <v>45754</v>
      </c>
      <c r="C250" s="20" t="s">
        <v>5</v>
      </c>
      <c r="D250" s="46" t="s">
        <v>123</v>
      </c>
      <c r="E250" s="20" t="s">
        <v>6</v>
      </c>
      <c r="F250" s="20" t="s">
        <v>7</v>
      </c>
      <c r="G250" s="43">
        <f>4*7.5*2.3</f>
        <v>69</v>
      </c>
      <c r="H250" s="20">
        <f>3+1</f>
        <v>4</v>
      </c>
      <c r="I250" s="20">
        <v>1</v>
      </c>
      <c r="J250" s="148"/>
      <c r="K250" s="149"/>
      <c r="L250" s="150"/>
      <c r="M250" s="21"/>
    </row>
    <row r="251" spans="1:13" ht="13.5" customHeight="1" x14ac:dyDescent="0.25">
      <c r="A251" s="18">
        <v>198</v>
      </c>
      <c r="B251" s="19">
        <v>45754</v>
      </c>
      <c r="C251" s="20" t="s">
        <v>5</v>
      </c>
      <c r="D251" s="46" t="s">
        <v>124</v>
      </c>
      <c r="E251" s="20" t="s">
        <v>6</v>
      </c>
      <c r="F251" s="20" t="s">
        <v>7</v>
      </c>
      <c r="G251" s="20">
        <f>(7*2.5*5)+(1*3.6*6)</f>
        <v>109.1</v>
      </c>
      <c r="H251" s="20">
        <f>7+1</f>
        <v>8</v>
      </c>
      <c r="I251" s="20">
        <v>1</v>
      </c>
      <c r="J251" s="148"/>
      <c r="K251" s="149"/>
      <c r="L251" s="150"/>
      <c r="M251" s="21"/>
    </row>
    <row r="252" spans="1:13" ht="13.5" customHeight="1" thickBot="1" x14ac:dyDescent="0.3">
      <c r="A252" s="18">
        <v>199</v>
      </c>
      <c r="B252" s="19">
        <v>45754</v>
      </c>
      <c r="C252" s="20" t="s">
        <v>5</v>
      </c>
      <c r="D252" s="46" t="s">
        <v>125</v>
      </c>
      <c r="E252" s="20" t="s">
        <v>6</v>
      </c>
      <c r="F252" s="20" t="s">
        <v>7</v>
      </c>
      <c r="G252" s="20">
        <f>(14*2.5*5)+(2*3.6*6)</f>
        <v>218.2</v>
      </c>
      <c r="H252" s="20">
        <f>14+2</f>
        <v>16</v>
      </c>
      <c r="I252" s="20">
        <v>2</v>
      </c>
      <c r="J252" s="148"/>
      <c r="K252" s="149"/>
      <c r="L252" s="150"/>
      <c r="M252" s="21"/>
    </row>
    <row r="253" spans="1:13" ht="13.5" customHeight="1" thickBot="1" x14ac:dyDescent="0.3">
      <c r="A253" s="151" t="s">
        <v>229</v>
      </c>
      <c r="B253" s="152"/>
      <c r="C253" s="152"/>
      <c r="D253" s="152"/>
      <c r="E253" s="62"/>
      <c r="F253" s="12"/>
      <c r="G253" s="12"/>
      <c r="H253" s="12"/>
      <c r="I253" s="12"/>
      <c r="J253" s="12"/>
      <c r="K253" s="12"/>
      <c r="L253" s="12"/>
      <c r="M253" s="13"/>
    </row>
    <row r="254" spans="1:13" ht="13.5" customHeight="1" x14ac:dyDescent="0.25">
      <c r="A254" s="14">
        <v>200</v>
      </c>
      <c r="B254" s="15">
        <v>45755</v>
      </c>
      <c r="C254" s="16" t="s">
        <v>5</v>
      </c>
      <c r="D254" s="45" t="s">
        <v>230</v>
      </c>
      <c r="E254" s="16" t="s">
        <v>6</v>
      </c>
      <c r="F254" s="16" t="s">
        <v>7</v>
      </c>
      <c r="G254" s="16">
        <f>(3*2.5*5)+(1*3.6*6)</f>
        <v>59.1</v>
      </c>
      <c r="H254" s="16">
        <f>3+1</f>
        <v>4</v>
      </c>
      <c r="I254" s="16">
        <v>1</v>
      </c>
      <c r="J254" s="145" t="s">
        <v>443</v>
      </c>
      <c r="K254" s="146"/>
      <c r="L254" s="147"/>
      <c r="M254" s="17"/>
    </row>
    <row r="255" spans="1:13" ht="13.5" customHeight="1" thickBot="1" x14ac:dyDescent="0.3">
      <c r="A255" s="18">
        <v>201</v>
      </c>
      <c r="B255" s="19">
        <v>45755</v>
      </c>
      <c r="C255" s="20" t="s">
        <v>5</v>
      </c>
      <c r="D255" s="46" t="s">
        <v>230</v>
      </c>
      <c r="E255" s="20" t="s">
        <v>6</v>
      </c>
      <c r="F255" s="20" t="s">
        <v>7</v>
      </c>
      <c r="G255" s="20">
        <f>(3*2.5*5)+(1*3.6*6)</f>
        <v>59.1</v>
      </c>
      <c r="H255" s="20">
        <f>3+1</f>
        <v>4</v>
      </c>
      <c r="I255" s="20">
        <v>1</v>
      </c>
      <c r="J255" s="148"/>
      <c r="K255" s="149"/>
      <c r="L255" s="150"/>
      <c r="M255" s="21"/>
    </row>
    <row r="256" spans="1:13" ht="13.5" customHeight="1" thickBot="1" x14ac:dyDescent="0.3">
      <c r="A256" s="151" t="s">
        <v>433</v>
      </c>
      <c r="B256" s="152"/>
      <c r="C256" s="152"/>
      <c r="D256" s="152"/>
      <c r="E256" s="152"/>
      <c r="F256" s="152"/>
      <c r="G256" s="12"/>
      <c r="H256" s="12"/>
      <c r="I256" s="12"/>
      <c r="J256" s="12"/>
      <c r="K256" s="12"/>
      <c r="L256" s="12"/>
      <c r="M256" s="13"/>
    </row>
    <row r="257" spans="1:13" ht="13.5" customHeight="1" x14ac:dyDescent="0.25">
      <c r="A257" s="14">
        <v>202</v>
      </c>
      <c r="B257" s="15">
        <v>45755</v>
      </c>
      <c r="C257" s="16" t="s">
        <v>5</v>
      </c>
      <c r="D257" s="45" t="s">
        <v>466</v>
      </c>
      <c r="E257" s="16" t="s">
        <v>6</v>
      </c>
      <c r="F257" s="16" t="s">
        <v>7</v>
      </c>
      <c r="G257" s="16">
        <f>27*3.3</f>
        <v>89.1</v>
      </c>
      <c r="H257" s="16">
        <v>2</v>
      </c>
      <c r="I257" s="16">
        <v>1</v>
      </c>
      <c r="J257" s="145" t="s">
        <v>443</v>
      </c>
      <c r="K257" s="146"/>
      <c r="L257" s="147"/>
      <c r="M257" s="17"/>
    </row>
    <row r="258" spans="1:13" ht="13.5" customHeight="1" x14ac:dyDescent="0.25">
      <c r="A258" s="18">
        <v>203</v>
      </c>
      <c r="B258" s="19">
        <v>45755</v>
      </c>
      <c r="C258" s="20" t="s">
        <v>5</v>
      </c>
      <c r="D258" s="46" t="s">
        <v>467</v>
      </c>
      <c r="E258" s="20" t="s">
        <v>6</v>
      </c>
      <c r="F258" s="20" t="s">
        <v>7</v>
      </c>
      <c r="G258" s="31">
        <f>22*2.3</f>
        <v>50.599999999999994</v>
      </c>
      <c r="H258" s="20">
        <v>2</v>
      </c>
      <c r="I258" s="20">
        <v>1</v>
      </c>
      <c r="J258" s="148"/>
      <c r="K258" s="149"/>
      <c r="L258" s="150"/>
      <c r="M258" s="21"/>
    </row>
    <row r="259" spans="1:13" ht="13.5" customHeight="1" x14ac:dyDescent="0.25">
      <c r="A259" s="42">
        <v>204</v>
      </c>
      <c r="B259" s="48">
        <v>45755</v>
      </c>
      <c r="C259" s="31" t="s">
        <v>5</v>
      </c>
      <c r="D259" s="107" t="s">
        <v>103</v>
      </c>
      <c r="E259" s="20" t="s">
        <v>6</v>
      </c>
      <c r="F259" s="20" t="s">
        <v>7</v>
      </c>
      <c r="G259" s="44">
        <f>28*3.5</f>
        <v>98</v>
      </c>
      <c r="H259" s="20">
        <v>3</v>
      </c>
      <c r="I259" s="20">
        <v>1</v>
      </c>
      <c r="J259" s="148"/>
      <c r="K259" s="149"/>
      <c r="L259" s="150"/>
      <c r="M259" s="21"/>
    </row>
    <row r="260" spans="1:13" ht="13.5" customHeight="1" x14ac:dyDescent="0.25">
      <c r="A260" s="18">
        <v>205</v>
      </c>
      <c r="B260" s="19">
        <v>45755</v>
      </c>
      <c r="C260" s="31" t="s">
        <v>5</v>
      </c>
      <c r="D260" s="110" t="s">
        <v>103</v>
      </c>
      <c r="E260" s="20" t="s">
        <v>6</v>
      </c>
      <c r="F260" s="20" t="s">
        <v>7</v>
      </c>
      <c r="G260" s="44">
        <f>(95*6.2)</f>
        <v>589</v>
      </c>
      <c r="H260" s="20">
        <f>28+3</f>
        <v>31</v>
      </c>
      <c r="I260" s="20">
        <v>3</v>
      </c>
      <c r="J260" s="148"/>
      <c r="K260" s="149"/>
      <c r="L260" s="150"/>
      <c r="M260" s="21"/>
    </row>
    <row r="261" spans="1:13" ht="13.5" customHeight="1" x14ac:dyDescent="0.25">
      <c r="A261" s="18">
        <v>206</v>
      </c>
      <c r="B261" s="48">
        <v>45755</v>
      </c>
      <c r="C261" s="31" t="s">
        <v>5</v>
      </c>
      <c r="D261" s="107" t="s">
        <v>104</v>
      </c>
      <c r="E261" s="20" t="s">
        <v>6</v>
      </c>
      <c r="F261" s="20" t="s">
        <v>7</v>
      </c>
      <c r="G261" s="20">
        <f>29*3.5</f>
        <v>101.5</v>
      </c>
      <c r="H261" s="20">
        <f>2+1</f>
        <v>3</v>
      </c>
      <c r="I261" s="20">
        <v>1</v>
      </c>
      <c r="J261" s="148"/>
      <c r="K261" s="149"/>
      <c r="L261" s="150"/>
      <c r="M261" s="21"/>
    </row>
    <row r="262" spans="1:13" ht="13.5" customHeight="1" x14ac:dyDescent="0.25">
      <c r="A262" s="42">
        <v>207</v>
      </c>
      <c r="B262" s="19">
        <v>45755</v>
      </c>
      <c r="C262" s="31" t="s">
        <v>5</v>
      </c>
      <c r="D262" s="107" t="s">
        <v>104</v>
      </c>
      <c r="E262" s="20" t="s">
        <v>6</v>
      </c>
      <c r="F262" s="20" t="s">
        <v>7</v>
      </c>
      <c r="G262" s="20">
        <f>21*3.5</f>
        <v>73.5</v>
      </c>
      <c r="H262" s="20">
        <f>2</f>
        <v>2</v>
      </c>
      <c r="I262" s="20">
        <v>1</v>
      </c>
      <c r="J262" s="148"/>
      <c r="K262" s="149"/>
      <c r="L262" s="150"/>
      <c r="M262" s="21"/>
    </row>
    <row r="263" spans="1:13" ht="13.5" customHeight="1" x14ac:dyDescent="0.25">
      <c r="A263" s="18">
        <v>208</v>
      </c>
      <c r="B263" s="19">
        <v>45755</v>
      </c>
      <c r="C263" s="31" t="s">
        <v>5</v>
      </c>
      <c r="D263" s="46" t="s">
        <v>105</v>
      </c>
      <c r="E263" s="20" t="s">
        <v>6</v>
      </c>
      <c r="F263" s="20" t="s">
        <v>7</v>
      </c>
      <c r="G263" s="20">
        <f>7*7.5*2.5</f>
        <v>131.25</v>
      </c>
      <c r="H263" s="20">
        <f>6+1</f>
        <v>7</v>
      </c>
      <c r="I263" s="20">
        <v>1</v>
      </c>
      <c r="J263" s="148"/>
      <c r="K263" s="149"/>
      <c r="L263" s="150"/>
      <c r="M263" s="21"/>
    </row>
    <row r="264" spans="1:13" ht="13.5" customHeight="1" x14ac:dyDescent="0.25">
      <c r="A264" s="18">
        <v>209</v>
      </c>
      <c r="B264" s="19">
        <v>45755</v>
      </c>
      <c r="C264" s="31" t="s">
        <v>5</v>
      </c>
      <c r="D264" s="103" t="s">
        <v>106</v>
      </c>
      <c r="E264" s="20" t="s">
        <v>6</v>
      </c>
      <c r="F264" s="20" t="s">
        <v>7</v>
      </c>
      <c r="G264" s="20">
        <f>(8*2.5*5)+(1*3.6*6)</f>
        <v>121.6</v>
      </c>
      <c r="H264" s="20">
        <f>8+1</f>
        <v>9</v>
      </c>
      <c r="I264" s="20">
        <v>1</v>
      </c>
      <c r="J264" s="148"/>
      <c r="K264" s="149"/>
      <c r="L264" s="150"/>
      <c r="M264" s="21"/>
    </row>
    <row r="265" spans="1:13" ht="13.5" customHeight="1" x14ac:dyDescent="0.25">
      <c r="A265" s="42">
        <v>210</v>
      </c>
      <c r="B265" s="19">
        <v>45755</v>
      </c>
      <c r="C265" s="31" t="s">
        <v>5</v>
      </c>
      <c r="D265" s="103" t="s">
        <v>107</v>
      </c>
      <c r="E265" s="20" t="s">
        <v>6</v>
      </c>
      <c r="F265" s="20" t="s">
        <v>7</v>
      </c>
      <c r="G265" s="44">
        <f>(22*2.5*5)+(2*4*6)</f>
        <v>323</v>
      </c>
      <c r="H265" s="20">
        <f>21+3</f>
        <v>24</v>
      </c>
      <c r="I265" s="20">
        <v>3</v>
      </c>
      <c r="J265" s="148"/>
      <c r="K265" s="149"/>
      <c r="L265" s="150"/>
      <c r="M265" s="25"/>
    </row>
    <row r="266" spans="1:13" ht="13.5" customHeight="1" x14ac:dyDescent="0.25">
      <c r="A266" s="18">
        <v>211</v>
      </c>
      <c r="B266" s="19">
        <v>45755</v>
      </c>
      <c r="C266" s="20" t="s">
        <v>5</v>
      </c>
      <c r="D266" s="103" t="s">
        <v>108</v>
      </c>
      <c r="E266" s="20" t="s">
        <v>6</v>
      </c>
      <c r="F266" s="20" t="s">
        <v>7</v>
      </c>
      <c r="G266" s="44">
        <f>((138+147)/2)*4.5</f>
        <v>641.25</v>
      </c>
      <c r="H266" s="20">
        <f>48+6</f>
        <v>54</v>
      </c>
      <c r="I266" s="20">
        <v>6</v>
      </c>
      <c r="J266" s="148"/>
      <c r="K266" s="149"/>
      <c r="L266" s="150"/>
      <c r="M266" s="25"/>
    </row>
    <row r="267" spans="1:13" ht="13.5" customHeight="1" thickBot="1" x14ac:dyDescent="0.3">
      <c r="A267" s="18">
        <v>212</v>
      </c>
      <c r="B267" s="33">
        <v>45755</v>
      </c>
      <c r="C267" s="34" t="s">
        <v>5</v>
      </c>
      <c r="D267" s="104" t="s">
        <v>109</v>
      </c>
      <c r="E267" s="34" t="s">
        <v>6</v>
      </c>
      <c r="F267" s="34" t="s">
        <v>7</v>
      </c>
      <c r="G267" s="67">
        <f>(14*7.5*2.5)+(2*7.5*2.5)</f>
        <v>300</v>
      </c>
      <c r="H267" s="34">
        <f>14+2</f>
        <v>16</v>
      </c>
      <c r="I267" s="34">
        <v>2</v>
      </c>
      <c r="J267" s="148"/>
      <c r="K267" s="149"/>
      <c r="L267" s="150"/>
      <c r="M267" s="78"/>
    </row>
    <row r="268" spans="1:13" ht="13.5" customHeight="1" thickBot="1" x14ac:dyDescent="0.3">
      <c r="A268" s="151" t="s">
        <v>231</v>
      </c>
      <c r="B268" s="152"/>
      <c r="C268" s="152"/>
      <c r="D268" s="152"/>
      <c r="E268" s="152"/>
      <c r="F268" s="152"/>
      <c r="G268" s="12"/>
      <c r="H268" s="12"/>
      <c r="I268" s="12"/>
      <c r="J268" s="12"/>
      <c r="K268" s="12"/>
      <c r="L268" s="12"/>
      <c r="M268" s="13"/>
    </row>
    <row r="269" spans="1:13" ht="21.75" customHeight="1" thickBot="1" x14ac:dyDescent="0.3">
      <c r="A269" s="14">
        <v>213</v>
      </c>
      <c r="B269" s="15">
        <v>45758</v>
      </c>
      <c r="C269" s="16" t="s">
        <v>5</v>
      </c>
      <c r="D269" s="45" t="s">
        <v>232</v>
      </c>
      <c r="E269" s="16" t="s">
        <v>6</v>
      </c>
      <c r="F269" s="16" t="s">
        <v>7</v>
      </c>
      <c r="G269" s="16">
        <f>43*((2.8+4.5)/2)</f>
        <v>156.94999999999999</v>
      </c>
      <c r="H269" s="16">
        <f>4+1</f>
        <v>5</v>
      </c>
      <c r="I269" s="16">
        <v>1</v>
      </c>
      <c r="J269" s="145" t="s">
        <v>443</v>
      </c>
      <c r="K269" s="146"/>
      <c r="L269" s="147"/>
      <c r="M269" s="17"/>
    </row>
    <row r="270" spans="1:13" ht="13.5" customHeight="1" thickBot="1" x14ac:dyDescent="0.3">
      <c r="A270" s="151" t="s">
        <v>242</v>
      </c>
      <c r="B270" s="152"/>
      <c r="C270" s="152"/>
      <c r="D270" s="152"/>
      <c r="E270" s="152"/>
      <c r="F270" s="152"/>
      <c r="G270" s="12"/>
      <c r="H270" s="12"/>
      <c r="I270" s="12"/>
      <c r="J270" s="12"/>
      <c r="K270" s="12"/>
      <c r="L270" s="12"/>
      <c r="M270" s="13"/>
    </row>
    <row r="271" spans="1:13" ht="13.5" customHeight="1" x14ac:dyDescent="0.25">
      <c r="A271" s="61">
        <v>214</v>
      </c>
      <c r="B271" s="15">
        <v>45758</v>
      </c>
      <c r="C271" s="16" t="s">
        <v>5</v>
      </c>
      <c r="D271" s="45" t="s">
        <v>243</v>
      </c>
      <c r="E271" s="16" t="s">
        <v>6</v>
      </c>
      <c r="F271" s="16" t="s">
        <v>7</v>
      </c>
      <c r="G271" s="41">
        <f>(9*2.5*5)+(1*3.5*5)</f>
        <v>130</v>
      </c>
      <c r="H271" s="16">
        <f>9+1</f>
        <v>10</v>
      </c>
      <c r="I271" s="16">
        <v>1</v>
      </c>
      <c r="J271" s="145" t="s">
        <v>443</v>
      </c>
      <c r="K271" s="146"/>
      <c r="L271" s="147"/>
      <c r="M271" s="17"/>
    </row>
    <row r="272" spans="1:13" ht="13.5" customHeight="1" x14ac:dyDescent="0.25">
      <c r="A272" s="18">
        <v>215</v>
      </c>
      <c r="B272" s="19">
        <v>45758</v>
      </c>
      <c r="C272" s="20" t="s">
        <v>5</v>
      </c>
      <c r="D272" s="46" t="s">
        <v>243</v>
      </c>
      <c r="E272" s="20" t="s">
        <v>6</v>
      </c>
      <c r="F272" s="20" t="s">
        <v>7</v>
      </c>
      <c r="G272" s="43">
        <f>(12*2.6*5)+(2*4*6)</f>
        <v>204</v>
      </c>
      <c r="H272" s="20">
        <f>12+2</f>
        <v>14</v>
      </c>
      <c r="I272" s="20">
        <v>2</v>
      </c>
      <c r="J272" s="148"/>
      <c r="K272" s="149"/>
      <c r="L272" s="150"/>
      <c r="M272" s="21"/>
    </row>
    <row r="273" spans="1:13" ht="13.5" customHeight="1" thickBot="1" x14ac:dyDescent="0.3">
      <c r="A273" s="18">
        <v>216</v>
      </c>
      <c r="B273" s="19">
        <v>45758</v>
      </c>
      <c r="C273" s="20" t="s">
        <v>5</v>
      </c>
      <c r="D273" s="46" t="s">
        <v>244</v>
      </c>
      <c r="E273" s="20" t="s">
        <v>6</v>
      </c>
      <c r="F273" s="20" t="s">
        <v>7</v>
      </c>
      <c r="G273" s="44">
        <f>(3*6*4.5)+(1*6*4.5)</f>
        <v>108</v>
      </c>
      <c r="H273" s="20">
        <f>3+1</f>
        <v>4</v>
      </c>
      <c r="I273" s="20">
        <v>1</v>
      </c>
      <c r="J273" s="148"/>
      <c r="K273" s="149"/>
      <c r="L273" s="150"/>
      <c r="M273" s="21"/>
    </row>
    <row r="274" spans="1:13" ht="13.5" customHeight="1" thickBot="1" x14ac:dyDescent="0.3">
      <c r="A274" s="151" t="s">
        <v>245</v>
      </c>
      <c r="B274" s="152"/>
      <c r="C274" s="152"/>
      <c r="D274" s="152"/>
      <c r="E274" s="152"/>
      <c r="F274" s="152"/>
      <c r="G274" s="12"/>
      <c r="H274" s="12"/>
      <c r="I274" s="12"/>
      <c r="J274" s="12"/>
      <c r="K274" s="12"/>
      <c r="L274" s="12"/>
      <c r="M274" s="13"/>
    </row>
    <row r="275" spans="1:13" ht="21.75" customHeight="1" thickBot="1" x14ac:dyDescent="0.3">
      <c r="A275" s="14">
        <v>217</v>
      </c>
      <c r="B275" s="15">
        <v>45758</v>
      </c>
      <c r="C275" s="16" t="s">
        <v>5</v>
      </c>
      <c r="D275" s="45" t="s">
        <v>246</v>
      </c>
      <c r="E275" s="16" t="s">
        <v>6</v>
      </c>
      <c r="F275" s="16" t="s">
        <v>7</v>
      </c>
      <c r="G275" s="16">
        <f>((24+43)/2)*9.5</f>
        <v>318.25</v>
      </c>
      <c r="H275" s="16">
        <f>8+1</f>
        <v>9</v>
      </c>
      <c r="I275" s="16">
        <v>1</v>
      </c>
      <c r="J275" s="145" t="s">
        <v>443</v>
      </c>
      <c r="K275" s="146"/>
      <c r="L275" s="147"/>
      <c r="M275" s="17"/>
    </row>
    <row r="276" spans="1:13" ht="13.5" customHeight="1" thickBot="1" x14ac:dyDescent="0.3">
      <c r="A276" s="151" t="s">
        <v>247</v>
      </c>
      <c r="B276" s="152"/>
      <c r="C276" s="152"/>
      <c r="D276" s="152"/>
      <c r="E276" s="152"/>
      <c r="F276" s="36"/>
      <c r="G276" s="36"/>
      <c r="H276" s="12"/>
      <c r="I276" s="12"/>
      <c r="J276" s="12"/>
      <c r="K276" s="12"/>
      <c r="L276" s="12"/>
      <c r="M276" s="13"/>
    </row>
    <row r="277" spans="1:13" ht="13.5" customHeight="1" x14ac:dyDescent="0.25">
      <c r="A277" s="14">
        <v>218</v>
      </c>
      <c r="B277" s="15">
        <v>45758</v>
      </c>
      <c r="C277" s="16" t="s">
        <v>5</v>
      </c>
      <c r="D277" s="45" t="s">
        <v>249</v>
      </c>
      <c r="E277" s="16" t="s">
        <v>6</v>
      </c>
      <c r="F277" s="16" t="s">
        <v>7</v>
      </c>
      <c r="G277" s="16">
        <f>(3*2.5*5)+(1*4*6)</f>
        <v>61.5</v>
      </c>
      <c r="H277" s="16">
        <f>3+1</f>
        <v>4</v>
      </c>
      <c r="I277" s="16">
        <v>1</v>
      </c>
      <c r="J277" s="145" t="s">
        <v>443</v>
      </c>
      <c r="K277" s="146"/>
      <c r="L277" s="147"/>
      <c r="M277" s="17"/>
    </row>
    <row r="278" spans="1:13" ht="13.5" customHeight="1" thickBot="1" x14ac:dyDescent="0.3">
      <c r="A278" s="18">
        <v>219</v>
      </c>
      <c r="B278" s="19">
        <v>45758</v>
      </c>
      <c r="C278" s="20" t="s">
        <v>5</v>
      </c>
      <c r="D278" s="46" t="s">
        <v>248</v>
      </c>
      <c r="E278" s="20" t="s">
        <v>6</v>
      </c>
      <c r="F278" s="20" t="s">
        <v>7</v>
      </c>
      <c r="G278" s="20">
        <f>(15*2.5*(5+4))+(2*4.1*(6+3))</f>
        <v>411.3</v>
      </c>
      <c r="H278" s="20">
        <f>15+2</f>
        <v>17</v>
      </c>
      <c r="I278" s="20">
        <v>2</v>
      </c>
      <c r="J278" s="153"/>
      <c r="K278" s="154"/>
      <c r="L278" s="155"/>
      <c r="M278" s="21"/>
    </row>
    <row r="279" spans="1:13" ht="13.5" customHeight="1" thickBot="1" x14ac:dyDescent="0.3">
      <c r="A279" s="151" t="s">
        <v>250</v>
      </c>
      <c r="B279" s="152"/>
      <c r="C279" s="152"/>
      <c r="D279" s="152"/>
      <c r="E279" s="152"/>
      <c r="F279" s="152"/>
      <c r="G279" s="12"/>
      <c r="H279" s="12"/>
      <c r="I279" s="12"/>
      <c r="J279" s="12"/>
      <c r="K279" s="12"/>
      <c r="L279" s="12"/>
      <c r="M279" s="13"/>
    </row>
    <row r="280" spans="1:13" ht="13.5" customHeight="1" x14ac:dyDescent="0.25">
      <c r="A280" s="61">
        <v>220</v>
      </c>
      <c r="B280" s="79">
        <v>45759</v>
      </c>
      <c r="C280" s="38" t="s">
        <v>5</v>
      </c>
      <c r="D280" s="92" t="s">
        <v>251</v>
      </c>
      <c r="E280" s="38" t="s">
        <v>6</v>
      </c>
      <c r="F280" s="38" t="s">
        <v>7</v>
      </c>
      <c r="G280" s="38">
        <f>((21+29)/2)*5.5</f>
        <v>137.5</v>
      </c>
      <c r="H280" s="38">
        <f>6+1</f>
        <v>7</v>
      </c>
      <c r="I280" s="38">
        <v>1</v>
      </c>
      <c r="J280" s="162" t="s">
        <v>443</v>
      </c>
      <c r="K280" s="163"/>
      <c r="L280" s="164"/>
      <c r="M280" s="80"/>
    </row>
    <row r="281" spans="1:13" ht="13.5" customHeight="1" thickBot="1" x14ac:dyDescent="0.3">
      <c r="A281" s="18">
        <v>221</v>
      </c>
      <c r="B281" s="19">
        <v>45759</v>
      </c>
      <c r="C281" s="20" t="s">
        <v>5</v>
      </c>
      <c r="D281" s="46" t="s">
        <v>252</v>
      </c>
      <c r="E281" s="20" t="s">
        <v>6</v>
      </c>
      <c r="F281" s="20" t="s">
        <v>7</v>
      </c>
      <c r="G281" s="20">
        <f>(4*2.8*5.6)+(1*4*5.6)</f>
        <v>85.11999999999999</v>
      </c>
      <c r="H281" s="20">
        <f>4+1</f>
        <v>5</v>
      </c>
      <c r="I281" s="20">
        <v>1</v>
      </c>
      <c r="J281" s="168"/>
      <c r="K281" s="169"/>
      <c r="L281" s="170"/>
      <c r="M281" s="21"/>
    </row>
    <row r="282" spans="1:13" ht="13.5" customHeight="1" thickBot="1" x14ac:dyDescent="0.3">
      <c r="A282" s="151" t="s">
        <v>253</v>
      </c>
      <c r="B282" s="152"/>
      <c r="C282" s="152"/>
      <c r="D282" s="152"/>
      <c r="E282" s="152"/>
      <c r="F282" s="152"/>
      <c r="G282" s="12"/>
      <c r="H282" s="12"/>
      <c r="I282" s="12"/>
      <c r="J282" s="12"/>
      <c r="K282" s="12"/>
      <c r="L282" s="12"/>
      <c r="M282" s="13"/>
    </row>
    <row r="283" spans="1:13" ht="13.5" customHeight="1" x14ac:dyDescent="0.25">
      <c r="A283" s="61">
        <v>222</v>
      </c>
      <c r="B283" s="15">
        <v>45759</v>
      </c>
      <c r="C283" s="16" t="s">
        <v>5</v>
      </c>
      <c r="D283" s="45" t="s">
        <v>254</v>
      </c>
      <c r="E283" s="16" t="s">
        <v>6</v>
      </c>
      <c r="F283" s="16" t="s">
        <v>7</v>
      </c>
      <c r="G283" s="41">
        <f>(50*8)</f>
        <v>400</v>
      </c>
      <c r="H283" s="16">
        <f>13+2</f>
        <v>15</v>
      </c>
      <c r="I283" s="16">
        <v>2</v>
      </c>
      <c r="J283" s="145" t="s">
        <v>443</v>
      </c>
      <c r="K283" s="146"/>
      <c r="L283" s="147"/>
      <c r="M283" s="17"/>
    </row>
    <row r="284" spans="1:13" ht="13.5" customHeight="1" x14ac:dyDescent="0.25">
      <c r="A284" s="18">
        <v>223</v>
      </c>
      <c r="B284" s="19">
        <v>45759</v>
      </c>
      <c r="C284" s="20" t="s">
        <v>5</v>
      </c>
      <c r="D284" s="46" t="s">
        <v>255</v>
      </c>
      <c r="E284" s="20" t="s">
        <v>6</v>
      </c>
      <c r="F284" s="20" t="s">
        <v>7</v>
      </c>
      <c r="G284" s="31">
        <f>(18*2.5*(5+3))+(3*3.6*(6+2))</f>
        <v>446.4</v>
      </c>
      <c r="H284" s="20">
        <f>18+3</f>
        <v>21</v>
      </c>
      <c r="I284" s="20">
        <f>3</f>
        <v>3</v>
      </c>
      <c r="J284" s="148"/>
      <c r="K284" s="149"/>
      <c r="L284" s="150"/>
      <c r="M284" s="21"/>
    </row>
    <row r="285" spans="1:13" ht="13.5" customHeight="1" thickBot="1" x14ac:dyDescent="0.3">
      <c r="A285" s="18">
        <v>224</v>
      </c>
      <c r="B285" s="19">
        <v>45759</v>
      </c>
      <c r="C285" s="20" t="s">
        <v>5</v>
      </c>
      <c r="D285" s="46" t="s">
        <v>256</v>
      </c>
      <c r="E285" s="20" t="s">
        <v>6</v>
      </c>
      <c r="F285" s="20" t="s">
        <v>7</v>
      </c>
      <c r="G285" s="44">
        <f>(38*6)</f>
        <v>228</v>
      </c>
      <c r="H285" s="20">
        <f>9+1</f>
        <v>10</v>
      </c>
      <c r="I285" s="20">
        <v>1</v>
      </c>
      <c r="J285" s="148"/>
      <c r="K285" s="149"/>
      <c r="L285" s="150"/>
      <c r="M285" s="21"/>
    </row>
    <row r="286" spans="1:13" ht="13.5" customHeight="1" thickBot="1" x14ac:dyDescent="0.3">
      <c r="A286" s="151" t="s">
        <v>257</v>
      </c>
      <c r="B286" s="152"/>
      <c r="C286" s="152"/>
      <c r="D286" s="152"/>
      <c r="E286" s="152"/>
      <c r="F286" s="152"/>
      <c r="G286" s="12"/>
      <c r="H286" s="12"/>
      <c r="I286" s="12"/>
      <c r="J286" s="12"/>
      <c r="K286" s="12"/>
      <c r="L286" s="12"/>
      <c r="M286" s="13"/>
    </row>
    <row r="287" spans="1:13" ht="21.75" customHeight="1" thickBot="1" x14ac:dyDescent="0.3">
      <c r="A287" s="81">
        <v>225</v>
      </c>
      <c r="B287" s="82">
        <v>45761</v>
      </c>
      <c r="C287" s="9" t="s">
        <v>5</v>
      </c>
      <c r="D287" s="102" t="s">
        <v>258</v>
      </c>
      <c r="E287" s="9" t="s">
        <v>6</v>
      </c>
      <c r="F287" s="9" t="s">
        <v>7</v>
      </c>
      <c r="G287" s="9">
        <f>34.4*9.5</f>
        <v>326.8</v>
      </c>
      <c r="H287" s="9">
        <f>9+2</f>
        <v>11</v>
      </c>
      <c r="I287" s="9">
        <v>2</v>
      </c>
      <c r="J287" s="171" t="s">
        <v>443</v>
      </c>
      <c r="K287" s="172"/>
      <c r="L287" s="173"/>
      <c r="M287" s="83"/>
    </row>
    <row r="288" spans="1:13" ht="13.5" customHeight="1" thickBot="1" x14ac:dyDescent="0.3">
      <c r="A288" s="151" t="s">
        <v>259</v>
      </c>
      <c r="B288" s="152"/>
      <c r="C288" s="152"/>
      <c r="D288" s="152"/>
      <c r="E288" s="152"/>
      <c r="F288" s="36"/>
      <c r="G288" s="36"/>
      <c r="H288" s="36"/>
      <c r="I288" s="36"/>
      <c r="J288" s="36"/>
      <c r="K288" s="36"/>
      <c r="L288" s="36"/>
      <c r="M288" s="37"/>
    </row>
    <row r="289" spans="1:13" ht="13.5" customHeight="1" x14ac:dyDescent="0.25">
      <c r="A289" s="18">
        <v>226</v>
      </c>
      <c r="B289" s="19">
        <v>45761</v>
      </c>
      <c r="C289" s="20" t="s">
        <v>5</v>
      </c>
      <c r="D289" s="103" t="s">
        <v>260</v>
      </c>
      <c r="E289" s="24" t="s">
        <v>6</v>
      </c>
      <c r="F289" s="24" t="s">
        <v>7</v>
      </c>
      <c r="G289" s="24">
        <f>2*7.5*3.5</f>
        <v>52.5</v>
      </c>
      <c r="H289" s="20">
        <f>1+1</f>
        <v>2</v>
      </c>
      <c r="I289" s="20">
        <v>1</v>
      </c>
      <c r="J289" s="145" t="s">
        <v>443</v>
      </c>
      <c r="K289" s="146"/>
      <c r="L289" s="147"/>
      <c r="M289" s="68"/>
    </row>
    <row r="290" spans="1:13" ht="13.5" customHeight="1" x14ac:dyDescent="0.25">
      <c r="A290" s="42">
        <v>227</v>
      </c>
      <c r="B290" s="48">
        <v>45761</v>
      </c>
      <c r="C290" s="31" t="s">
        <v>5</v>
      </c>
      <c r="D290" s="106" t="s">
        <v>261</v>
      </c>
      <c r="E290" s="49" t="s">
        <v>6</v>
      </c>
      <c r="F290" s="49" t="s">
        <v>7</v>
      </c>
      <c r="G290" s="49">
        <f>(39*3.6)</f>
        <v>140.4</v>
      </c>
      <c r="H290" s="31">
        <f>6+1</f>
        <v>7</v>
      </c>
      <c r="I290" s="31">
        <v>1</v>
      </c>
      <c r="J290" s="148"/>
      <c r="K290" s="149"/>
      <c r="L290" s="150"/>
      <c r="M290" s="69"/>
    </row>
    <row r="291" spans="1:13" ht="13.5" customHeight="1" x14ac:dyDescent="0.25">
      <c r="A291" s="42">
        <v>228</v>
      </c>
      <c r="B291" s="48">
        <v>45761</v>
      </c>
      <c r="C291" s="31" t="s">
        <v>5</v>
      </c>
      <c r="D291" s="106" t="s">
        <v>262</v>
      </c>
      <c r="E291" s="49" t="s">
        <v>6</v>
      </c>
      <c r="F291" s="49" t="s">
        <v>7</v>
      </c>
      <c r="G291" s="49">
        <f>(38.5*6.5)-12.5</f>
        <v>237.75</v>
      </c>
      <c r="H291" s="31">
        <f>9+2</f>
        <v>11</v>
      </c>
      <c r="I291" s="31">
        <v>2</v>
      </c>
      <c r="J291" s="148"/>
      <c r="K291" s="149"/>
      <c r="L291" s="150"/>
      <c r="M291" s="69"/>
    </row>
    <row r="292" spans="1:13" ht="13.5" customHeight="1" x14ac:dyDescent="0.25">
      <c r="A292" s="42">
        <v>229</v>
      </c>
      <c r="B292" s="48">
        <v>45761</v>
      </c>
      <c r="C292" s="31" t="s">
        <v>5</v>
      </c>
      <c r="D292" s="106" t="s">
        <v>263</v>
      </c>
      <c r="E292" s="49" t="s">
        <v>6</v>
      </c>
      <c r="F292" s="49" t="s">
        <v>7</v>
      </c>
      <c r="G292" s="49">
        <f>(4*8*2.7)+(1*9*2.7)</f>
        <v>110.7</v>
      </c>
      <c r="H292" s="31">
        <f>4+1</f>
        <v>5</v>
      </c>
      <c r="I292" s="31">
        <v>1</v>
      </c>
      <c r="J292" s="148"/>
      <c r="K292" s="149"/>
      <c r="L292" s="150"/>
      <c r="M292" s="69"/>
    </row>
    <row r="293" spans="1:13" ht="13.5" customHeight="1" x14ac:dyDescent="0.25">
      <c r="A293" s="42">
        <v>230</v>
      </c>
      <c r="B293" s="48">
        <v>45761</v>
      </c>
      <c r="C293" s="31" t="s">
        <v>5</v>
      </c>
      <c r="D293" s="106" t="s">
        <v>265</v>
      </c>
      <c r="E293" s="49" t="s">
        <v>6</v>
      </c>
      <c r="F293" s="49" t="s">
        <v>7</v>
      </c>
      <c r="G293" s="49">
        <f>58*5.2</f>
        <v>301.60000000000002</v>
      </c>
      <c r="H293" s="31">
        <f>16+2</f>
        <v>18</v>
      </c>
      <c r="I293" s="31">
        <v>2</v>
      </c>
      <c r="J293" s="148"/>
      <c r="K293" s="149"/>
      <c r="L293" s="150"/>
      <c r="M293" s="69"/>
    </row>
    <row r="294" spans="1:13" ht="13.5" customHeight="1" x14ac:dyDescent="0.25">
      <c r="A294" s="42">
        <v>231</v>
      </c>
      <c r="B294" s="48">
        <v>45761</v>
      </c>
      <c r="C294" s="49" t="s">
        <v>5</v>
      </c>
      <c r="D294" s="106" t="s">
        <v>487</v>
      </c>
      <c r="E294" s="49" t="s">
        <v>6</v>
      </c>
      <c r="F294" s="49" t="s">
        <v>7</v>
      </c>
      <c r="G294" s="55">
        <f>(55*5.8)</f>
        <v>319</v>
      </c>
      <c r="H294" s="49">
        <f>12+2</f>
        <v>14</v>
      </c>
      <c r="I294" s="49">
        <v>2</v>
      </c>
      <c r="J294" s="148"/>
      <c r="K294" s="149"/>
      <c r="L294" s="150"/>
      <c r="M294" s="75"/>
    </row>
    <row r="295" spans="1:13" ht="13.5" customHeight="1" x14ac:dyDescent="0.25">
      <c r="A295" s="42">
        <v>232</v>
      </c>
      <c r="B295" s="48">
        <v>45761</v>
      </c>
      <c r="C295" s="49" t="s">
        <v>5</v>
      </c>
      <c r="D295" s="106" t="s">
        <v>266</v>
      </c>
      <c r="E295" s="49" t="s">
        <v>6</v>
      </c>
      <c r="F295" s="49" t="s">
        <v>7</v>
      </c>
      <c r="G295" s="49">
        <f>(3*2.9*4.9)+((7*2.9*4.9)+(1*4*5.2))+((7*2.9*4.7)+(1*4*6))</f>
        <v>282.31</v>
      </c>
      <c r="H295" s="49">
        <f>3+7+1+7+1</f>
        <v>19</v>
      </c>
      <c r="I295" s="49">
        <v>2</v>
      </c>
      <c r="J295" s="148"/>
      <c r="K295" s="149"/>
      <c r="L295" s="150"/>
      <c r="M295" s="75"/>
    </row>
    <row r="296" spans="1:13" ht="13.5" customHeight="1" x14ac:dyDescent="0.25">
      <c r="A296" s="42">
        <v>233</v>
      </c>
      <c r="B296" s="48">
        <v>45761</v>
      </c>
      <c r="C296" s="49" t="s">
        <v>5</v>
      </c>
      <c r="D296" s="106" t="s">
        <v>267</v>
      </c>
      <c r="E296" s="49" t="s">
        <v>6</v>
      </c>
      <c r="F296" s="49" t="s">
        <v>7</v>
      </c>
      <c r="G296" s="49">
        <f>(18+18+45)*4.5</f>
        <v>364.5</v>
      </c>
      <c r="H296" s="49">
        <f>4+1+3+1+13+1</f>
        <v>23</v>
      </c>
      <c r="I296" s="49">
        <v>3</v>
      </c>
      <c r="J296" s="148"/>
      <c r="K296" s="149"/>
      <c r="L296" s="150"/>
      <c r="M296" s="75"/>
    </row>
    <row r="297" spans="1:13" ht="13.5" customHeight="1" thickBot="1" x14ac:dyDescent="0.3">
      <c r="A297" s="42">
        <v>234</v>
      </c>
      <c r="B297" s="48">
        <v>45761</v>
      </c>
      <c r="C297" s="49" t="s">
        <v>5</v>
      </c>
      <c r="D297" s="106" t="s">
        <v>264</v>
      </c>
      <c r="E297" s="49" t="s">
        <v>6</v>
      </c>
      <c r="F297" s="49" t="s">
        <v>7</v>
      </c>
      <c r="G297" s="55">
        <f>(23.5+23.5+23+19)*5</f>
        <v>445</v>
      </c>
      <c r="H297" s="49">
        <f>6+1+7+7+4+2</f>
        <v>27</v>
      </c>
      <c r="I297" s="49">
        <v>3</v>
      </c>
      <c r="J297" s="153"/>
      <c r="K297" s="154"/>
      <c r="L297" s="155"/>
      <c r="M297" s="75"/>
    </row>
    <row r="298" spans="1:13" ht="13.5" customHeight="1" thickBot="1" x14ac:dyDescent="0.3">
      <c r="A298" s="151" t="s">
        <v>268</v>
      </c>
      <c r="B298" s="152"/>
      <c r="C298" s="152"/>
      <c r="D298" s="152"/>
      <c r="E298" s="152"/>
      <c r="F298" s="36"/>
      <c r="G298" s="36"/>
      <c r="H298" s="36"/>
      <c r="I298" s="36"/>
      <c r="J298" s="36"/>
      <c r="K298" s="36"/>
      <c r="L298" s="36"/>
      <c r="M298" s="37"/>
    </row>
    <row r="299" spans="1:13" ht="13.5" customHeight="1" x14ac:dyDescent="0.25">
      <c r="A299" s="18">
        <v>235</v>
      </c>
      <c r="B299" s="19">
        <v>45762</v>
      </c>
      <c r="C299" s="20" t="s">
        <v>5</v>
      </c>
      <c r="D299" s="46" t="s">
        <v>269</v>
      </c>
      <c r="E299" s="20" t="s">
        <v>6</v>
      </c>
      <c r="F299" s="20" t="s">
        <v>7</v>
      </c>
      <c r="G299" s="20">
        <f>(22*2.8*5.5)+(3*4*6)</f>
        <v>410.79999999999995</v>
      </c>
      <c r="H299" s="20">
        <f>22+3</f>
        <v>25</v>
      </c>
      <c r="I299" s="20">
        <v>3</v>
      </c>
      <c r="J299" s="145" t="s">
        <v>440</v>
      </c>
      <c r="K299" s="146"/>
      <c r="L299" s="147"/>
      <c r="M299" s="84"/>
    </row>
    <row r="300" spans="1:13" ht="13.5" customHeight="1" x14ac:dyDescent="0.25">
      <c r="A300" s="85">
        <v>236</v>
      </c>
      <c r="B300" s="86">
        <v>45762</v>
      </c>
      <c r="C300" s="49" t="s">
        <v>5</v>
      </c>
      <c r="D300" s="106" t="s">
        <v>270</v>
      </c>
      <c r="E300" s="49" t="s">
        <v>6</v>
      </c>
      <c r="F300" s="49" t="s">
        <v>7</v>
      </c>
      <c r="G300" s="49">
        <f>28.5*5.5</f>
        <v>156.75</v>
      </c>
      <c r="H300" s="49">
        <f>8+1</f>
        <v>9</v>
      </c>
      <c r="I300" s="49">
        <v>1</v>
      </c>
      <c r="J300" s="148"/>
      <c r="K300" s="149"/>
      <c r="L300" s="150"/>
      <c r="M300" s="75"/>
    </row>
    <row r="301" spans="1:13" ht="13.5" customHeight="1" x14ac:dyDescent="0.25">
      <c r="A301" s="42">
        <v>237</v>
      </c>
      <c r="B301" s="86">
        <v>45762</v>
      </c>
      <c r="C301" s="31" t="s">
        <v>5</v>
      </c>
      <c r="D301" s="107" t="s">
        <v>271</v>
      </c>
      <c r="E301" s="31" t="s">
        <v>6</v>
      </c>
      <c r="F301" s="31" t="s">
        <v>7</v>
      </c>
      <c r="G301" s="31">
        <f>(9*2.9*5)+(1*4*6)+(4*2.9*5)+(1*4*6)</f>
        <v>236.5</v>
      </c>
      <c r="H301" s="31">
        <f>9+1+4+1</f>
        <v>15</v>
      </c>
      <c r="I301" s="31">
        <v>2</v>
      </c>
      <c r="J301" s="148"/>
      <c r="K301" s="149"/>
      <c r="L301" s="150"/>
      <c r="M301" s="69"/>
    </row>
    <row r="302" spans="1:13" ht="13.5" customHeight="1" x14ac:dyDescent="0.25">
      <c r="A302" s="85">
        <v>238</v>
      </c>
      <c r="B302" s="86">
        <v>45762</v>
      </c>
      <c r="C302" s="31" t="s">
        <v>5</v>
      </c>
      <c r="D302" s="107" t="s">
        <v>272</v>
      </c>
      <c r="E302" s="31" t="s">
        <v>6</v>
      </c>
      <c r="F302" s="31" t="s">
        <v>7</v>
      </c>
      <c r="G302" s="31">
        <f>2*7.5*3.5</f>
        <v>52.5</v>
      </c>
      <c r="H302" s="31">
        <f>1+1</f>
        <v>2</v>
      </c>
      <c r="I302" s="31">
        <v>1</v>
      </c>
      <c r="J302" s="148"/>
      <c r="K302" s="149"/>
      <c r="L302" s="150"/>
      <c r="M302" s="69"/>
    </row>
    <row r="303" spans="1:13" ht="13.5" customHeight="1" x14ac:dyDescent="0.25">
      <c r="A303" s="85">
        <v>239</v>
      </c>
      <c r="B303" s="86">
        <v>45762</v>
      </c>
      <c r="C303" s="31" t="s">
        <v>5</v>
      </c>
      <c r="D303" s="107" t="s">
        <v>273</v>
      </c>
      <c r="E303" s="31" t="s">
        <v>6</v>
      </c>
      <c r="F303" s="31" t="s">
        <v>7</v>
      </c>
      <c r="G303" s="31">
        <f>(17+27)*3.3</f>
        <v>145.19999999999999</v>
      </c>
      <c r="H303" s="31">
        <f>2+2+1</f>
        <v>5</v>
      </c>
      <c r="I303" s="31">
        <v>1</v>
      </c>
      <c r="J303" s="148"/>
      <c r="K303" s="149"/>
      <c r="L303" s="150"/>
      <c r="M303" s="69"/>
    </row>
    <row r="304" spans="1:13" ht="13.5" customHeight="1" x14ac:dyDescent="0.25">
      <c r="A304" s="42">
        <v>240</v>
      </c>
      <c r="B304" s="86">
        <v>45762</v>
      </c>
      <c r="C304" s="31" t="s">
        <v>5</v>
      </c>
      <c r="D304" s="107" t="s">
        <v>274</v>
      </c>
      <c r="E304" s="31" t="s">
        <v>6</v>
      </c>
      <c r="F304" s="31" t="s">
        <v>7</v>
      </c>
      <c r="G304" s="43">
        <f>(24*3)</f>
        <v>72</v>
      </c>
      <c r="H304" s="31">
        <f>2+1</f>
        <v>3</v>
      </c>
      <c r="I304" s="31">
        <v>1</v>
      </c>
      <c r="J304" s="148"/>
      <c r="K304" s="149"/>
      <c r="L304" s="150"/>
      <c r="M304" s="69"/>
    </row>
    <row r="305" spans="1:13" ht="13.5" customHeight="1" x14ac:dyDescent="0.25">
      <c r="A305" s="85">
        <v>241</v>
      </c>
      <c r="B305" s="86">
        <v>45762</v>
      </c>
      <c r="C305" s="49" t="s">
        <v>5</v>
      </c>
      <c r="D305" s="106" t="s">
        <v>275</v>
      </c>
      <c r="E305" s="49" t="s">
        <v>6</v>
      </c>
      <c r="F305" s="49" t="s">
        <v>7</v>
      </c>
      <c r="G305" s="55">
        <f>(35*((3.2+4)/2))</f>
        <v>126</v>
      </c>
      <c r="H305" s="49">
        <f>8+1</f>
        <v>9</v>
      </c>
      <c r="I305" s="49">
        <v>1</v>
      </c>
      <c r="J305" s="148"/>
      <c r="K305" s="149"/>
      <c r="L305" s="150"/>
      <c r="M305" s="75"/>
    </row>
    <row r="306" spans="1:13" ht="13.5" customHeight="1" x14ac:dyDescent="0.25">
      <c r="A306" s="85">
        <v>242</v>
      </c>
      <c r="B306" s="86">
        <v>45762</v>
      </c>
      <c r="C306" s="49" t="s">
        <v>5</v>
      </c>
      <c r="D306" s="106" t="s">
        <v>276</v>
      </c>
      <c r="E306" s="49" t="s">
        <v>6</v>
      </c>
      <c r="F306" s="49" t="s">
        <v>7</v>
      </c>
      <c r="G306" s="49">
        <f>11*7.5*1.7</f>
        <v>140.25</v>
      </c>
      <c r="H306" s="49">
        <f>9+2</f>
        <v>11</v>
      </c>
      <c r="I306" s="49">
        <v>2</v>
      </c>
      <c r="J306" s="148"/>
      <c r="K306" s="149"/>
      <c r="L306" s="150"/>
      <c r="M306" s="75"/>
    </row>
    <row r="307" spans="1:13" ht="13.5" customHeight="1" x14ac:dyDescent="0.25">
      <c r="A307" s="42">
        <v>243</v>
      </c>
      <c r="B307" s="86">
        <v>45762</v>
      </c>
      <c r="C307" s="49" t="s">
        <v>5</v>
      </c>
      <c r="D307" s="107" t="s">
        <v>277</v>
      </c>
      <c r="E307" s="49" t="s">
        <v>6</v>
      </c>
      <c r="F307" s="49" t="s">
        <v>7</v>
      </c>
      <c r="G307" s="55">
        <f>15.5*6</f>
        <v>93</v>
      </c>
      <c r="H307" s="49">
        <f>4+1</f>
        <v>5</v>
      </c>
      <c r="I307" s="49">
        <v>1</v>
      </c>
      <c r="J307" s="148"/>
      <c r="K307" s="149"/>
      <c r="L307" s="150"/>
      <c r="M307" s="75"/>
    </row>
    <row r="308" spans="1:13" ht="13.5" customHeight="1" x14ac:dyDescent="0.25">
      <c r="A308" s="85">
        <v>244</v>
      </c>
      <c r="B308" s="86">
        <v>45762</v>
      </c>
      <c r="C308" s="49" t="s">
        <v>5</v>
      </c>
      <c r="D308" s="107" t="s">
        <v>278</v>
      </c>
      <c r="E308" s="49" t="s">
        <v>6</v>
      </c>
      <c r="F308" s="49" t="s">
        <v>7</v>
      </c>
      <c r="G308" s="55">
        <f>3*8*2.5</f>
        <v>60</v>
      </c>
      <c r="H308" s="49">
        <f>2+1</f>
        <v>3</v>
      </c>
      <c r="I308" s="49">
        <v>1</v>
      </c>
      <c r="J308" s="148"/>
      <c r="K308" s="149"/>
      <c r="L308" s="150"/>
      <c r="M308" s="75"/>
    </row>
    <row r="309" spans="1:13" ht="13.5" customHeight="1" x14ac:dyDescent="0.25">
      <c r="A309" s="85">
        <v>245</v>
      </c>
      <c r="B309" s="86">
        <v>45762</v>
      </c>
      <c r="C309" s="49" t="s">
        <v>5</v>
      </c>
      <c r="D309" s="107" t="s">
        <v>279</v>
      </c>
      <c r="E309" s="49" t="s">
        <v>6</v>
      </c>
      <c r="F309" s="49" t="s">
        <v>7</v>
      </c>
      <c r="G309" s="49">
        <f>22*3.3</f>
        <v>72.599999999999994</v>
      </c>
      <c r="H309" s="49">
        <f>2+1</f>
        <v>3</v>
      </c>
      <c r="I309" s="49">
        <v>1</v>
      </c>
      <c r="J309" s="148"/>
      <c r="K309" s="149"/>
      <c r="L309" s="150"/>
      <c r="M309" s="75"/>
    </row>
    <row r="310" spans="1:13" ht="13.5" customHeight="1" thickBot="1" x14ac:dyDescent="0.3">
      <c r="A310" s="42">
        <v>246</v>
      </c>
      <c r="B310" s="48">
        <v>45762</v>
      </c>
      <c r="C310" s="31" t="s">
        <v>5</v>
      </c>
      <c r="D310" s="107" t="s">
        <v>280</v>
      </c>
      <c r="E310" s="31" t="s">
        <v>6</v>
      </c>
      <c r="F310" s="31" t="s">
        <v>7</v>
      </c>
      <c r="G310" s="43">
        <f>45+33</f>
        <v>78</v>
      </c>
      <c r="H310" s="31">
        <f>2+1</f>
        <v>3</v>
      </c>
      <c r="I310" s="31">
        <v>1</v>
      </c>
      <c r="J310" s="153"/>
      <c r="K310" s="154"/>
      <c r="L310" s="155"/>
      <c r="M310" s="69"/>
    </row>
    <row r="311" spans="1:13" ht="13.5" customHeight="1" thickBot="1" x14ac:dyDescent="0.3">
      <c r="A311" s="151" t="s">
        <v>390</v>
      </c>
      <c r="B311" s="152"/>
      <c r="C311" s="152"/>
      <c r="D311" s="152"/>
      <c r="E311" s="152"/>
      <c r="F311" s="152"/>
      <c r="G311" s="12"/>
      <c r="H311" s="12"/>
      <c r="I311" s="12"/>
      <c r="J311" s="12"/>
      <c r="K311" s="12"/>
      <c r="L311" s="12"/>
      <c r="M311" s="13"/>
    </row>
    <row r="312" spans="1:13" ht="13.5" customHeight="1" x14ac:dyDescent="0.25">
      <c r="A312" s="61">
        <v>247</v>
      </c>
      <c r="B312" s="79">
        <v>45763</v>
      </c>
      <c r="C312" s="38" t="s">
        <v>5</v>
      </c>
      <c r="D312" s="92" t="s">
        <v>391</v>
      </c>
      <c r="E312" s="38" t="s">
        <v>6</v>
      </c>
      <c r="F312" s="38" t="s">
        <v>7</v>
      </c>
      <c r="G312" s="38">
        <f>(25*6.5)</f>
        <v>162.5</v>
      </c>
      <c r="H312" s="38">
        <f>6+1</f>
        <v>7</v>
      </c>
      <c r="I312" s="38">
        <v>1</v>
      </c>
      <c r="J312" s="145" t="s">
        <v>443</v>
      </c>
      <c r="K312" s="146"/>
      <c r="L312" s="147"/>
      <c r="M312" s="80"/>
    </row>
    <row r="313" spans="1:13" ht="13.5" customHeight="1" thickBot="1" x14ac:dyDescent="0.3">
      <c r="A313" s="18">
        <v>248</v>
      </c>
      <c r="B313" s="19">
        <v>45763</v>
      </c>
      <c r="C313" s="20" t="s">
        <v>5</v>
      </c>
      <c r="D313" s="46" t="s">
        <v>392</v>
      </c>
      <c r="E313" s="20" t="s">
        <v>6</v>
      </c>
      <c r="F313" s="20" t="s">
        <v>7</v>
      </c>
      <c r="G313" s="44">
        <f>(5*7.5*3.4)+(1*7.5*3.4)</f>
        <v>153</v>
      </c>
      <c r="H313" s="20">
        <f>5+1</f>
        <v>6</v>
      </c>
      <c r="I313" s="20">
        <v>1</v>
      </c>
      <c r="J313" s="153"/>
      <c r="K313" s="154"/>
      <c r="L313" s="155"/>
      <c r="M313" s="21"/>
    </row>
    <row r="314" spans="1:13" ht="13.5" customHeight="1" thickBot="1" x14ac:dyDescent="0.3">
      <c r="A314" s="151" t="s">
        <v>281</v>
      </c>
      <c r="B314" s="152"/>
      <c r="C314" s="152"/>
      <c r="D314" s="152"/>
      <c r="E314" s="152"/>
      <c r="F314" s="152"/>
      <c r="G314" s="12"/>
      <c r="H314" s="12"/>
      <c r="I314" s="12"/>
      <c r="J314" s="12"/>
      <c r="K314" s="12"/>
      <c r="L314" s="12"/>
      <c r="M314" s="13"/>
    </row>
    <row r="315" spans="1:13" ht="21.75" customHeight="1" thickBot="1" x14ac:dyDescent="0.3">
      <c r="A315" s="14">
        <v>249</v>
      </c>
      <c r="B315" s="15">
        <v>45763</v>
      </c>
      <c r="C315" s="16" t="s">
        <v>5</v>
      </c>
      <c r="D315" s="45" t="s">
        <v>282</v>
      </c>
      <c r="E315" s="16" t="s">
        <v>6</v>
      </c>
      <c r="F315" s="16" t="s">
        <v>7</v>
      </c>
      <c r="G315" s="16">
        <f>(20*2.5*5)+(3*3.6*5)</f>
        <v>304</v>
      </c>
      <c r="H315" s="16">
        <f>20+3</f>
        <v>23</v>
      </c>
      <c r="I315" s="16">
        <v>3</v>
      </c>
      <c r="J315" s="145" t="s">
        <v>443</v>
      </c>
      <c r="K315" s="146"/>
      <c r="L315" s="147"/>
      <c r="M315" s="17"/>
    </row>
    <row r="316" spans="1:13" ht="13.5" customHeight="1" thickBot="1" x14ac:dyDescent="0.3">
      <c r="A316" s="151" t="s">
        <v>393</v>
      </c>
      <c r="B316" s="152"/>
      <c r="C316" s="152"/>
      <c r="D316" s="152"/>
      <c r="E316" s="152"/>
      <c r="F316" s="36"/>
      <c r="G316" s="36"/>
      <c r="H316" s="36"/>
      <c r="I316" s="36"/>
      <c r="J316" s="36"/>
      <c r="K316" s="36"/>
      <c r="L316" s="36"/>
      <c r="M316" s="37"/>
    </row>
    <row r="317" spans="1:13" ht="13.5" customHeight="1" x14ac:dyDescent="0.25">
      <c r="A317" s="87">
        <v>250</v>
      </c>
      <c r="B317" s="15">
        <v>45765</v>
      </c>
      <c r="C317" s="16" t="s">
        <v>5</v>
      </c>
      <c r="D317" s="45" t="s">
        <v>394</v>
      </c>
      <c r="E317" s="16" t="s">
        <v>6</v>
      </c>
      <c r="F317" s="16" t="s">
        <v>7</v>
      </c>
      <c r="G317" s="16">
        <f>(53.5*7)</f>
        <v>374.5</v>
      </c>
      <c r="H317" s="16">
        <f>14+2</f>
        <v>16</v>
      </c>
      <c r="I317" s="16">
        <v>2</v>
      </c>
      <c r="J317" s="145" t="s">
        <v>443</v>
      </c>
      <c r="K317" s="146"/>
      <c r="L317" s="147"/>
      <c r="M317" s="88"/>
    </row>
    <row r="318" spans="1:13" ht="13.5" customHeight="1" x14ac:dyDescent="0.25">
      <c r="A318" s="89">
        <v>251</v>
      </c>
      <c r="B318" s="48">
        <v>45765</v>
      </c>
      <c r="C318" s="31" t="s">
        <v>5</v>
      </c>
      <c r="D318" s="107" t="s">
        <v>395</v>
      </c>
      <c r="E318" s="31" t="s">
        <v>6</v>
      </c>
      <c r="F318" s="31" t="s">
        <v>7</v>
      </c>
      <c r="G318" s="31">
        <f>(11.5*5.5)</f>
        <v>63.25</v>
      </c>
      <c r="H318" s="31">
        <f>2+1</f>
        <v>3</v>
      </c>
      <c r="I318" s="31">
        <v>1</v>
      </c>
      <c r="J318" s="148"/>
      <c r="K318" s="149"/>
      <c r="L318" s="150"/>
      <c r="M318" s="69"/>
    </row>
    <row r="319" spans="1:13" ht="13.5" customHeight="1" x14ac:dyDescent="0.25">
      <c r="A319" s="89">
        <v>252</v>
      </c>
      <c r="B319" s="48">
        <v>45765</v>
      </c>
      <c r="C319" s="31" t="s">
        <v>5</v>
      </c>
      <c r="D319" s="107" t="s">
        <v>396</v>
      </c>
      <c r="E319" s="31" t="s">
        <v>6</v>
      </c>
      <c r="F319" s="31" t="s">
        <v>7</v>
      </c>
      <c r="G319" s="43">
        <f>(36*(3.5+6.5)/2)</f>
        <v>180</v>
      </c>
      <c r="H319" s="31">
        <f>9+1</f>
        <v>10</v>
      </c>
      <c r="I319" s="31">
        <v>1</v>
      </c>
      <c r="J319" s="148"/>
      <c r="K319" s="149"/>
      <c r="L319" s="150"/>
      <c r="M319" s="69"/>
    </row>
    <row r="320" spans="1:13" ht="13.5" customHeight="1" x14ac:dyDescent="0.25">
      <c r="A320" s="89">
        <v>253</v>
      </c>
      <c r="B320" s="48">
        <v>45765</v>
      </c>
      <c r="C320" s="31" t="s">
        <v>5</v>
      </c>
      <c r="D320" s="107" t="s">
        <v>397</v>
      </c>
      <c r="E320" s="31" t="s">
        <v>6</v>
      </c>
      <c r="F320" s="31" t="s">
        <v>7</v>
      </c>
      <c r="G320" s="31">
        <f>(18*2.6)+(18*2.6)</f>
        <v>93.600000000000009</v>
      </c>
      <c r="H320" s="31">
        <f>3+1</f>
        <v>4</v>
      </c>
      <c r="I320" s="31">
        <v>1</v>
      </c>
      <c r="J320" s="148"/>
      <c r="K320" s="149"/>
      <c r="L320" s="150"/>
      <c r="M320" s="69"/>
    </row>
    <row r="321" spans="1:13" ht="13.5" customHeight="1" x14ac:dyDescent="0.25">
      <c r="A321" s="89">
        <v>254</v>
      </c>
      <c r="B321" s="48">
        <v>45765</v>
      </c>
      <c r="C321" s="31" t="s">
        <v>5</v>
      </c>
      <c r="D321" s="107" t="s">
        <v>398</v>
      </c>
      <c r="E321" s="31" t="s">
        <v>6</v>
      </c>
      <c r="F321" s="31" t="s">
        <v>7</v>
      </c>
      <c r="G321" s="31">
        <f>(64*5.2)</f>
        <v>332.8</v>
      </c>
      <c r="H321" s="31">
        <f>16+2</f>
        <v>18</v>
      </c>
      <c r="I321" s="31">
        <v>2</v>
      </c>
      <c r="J321" s="148"/>
      <c r="K321" s="149"/>
      <c r="L321" s="150"/>
      <c r="M321" s="69"/>
    </row>
    <row r="322" spans="1:13" ht="13.5" customHeight="1" x14ac:dyDescent="0.25">
      <c r="A322" s="89">
        <v>255</v>
      </c>
      <c r="B322" s="48">
        <v>45765</v>
      </c>
      <c r="C322" s="49" t="s">
        <v>5</v>
      </c>
      <c r="D322" s="107" t="s">
        <v>399</v>
      </c>
      <c r="E322" s="49" t="s">
        <v>6</v>
      </c>
      <c r="F322" s="49" t="s">
        <v>7</v>
      </c>
      <c r="G322" s="49">
        <f>(18*3.8)</f>
        <v>68.399999999999991</v>
      </c>
      <c r="H322" s="49">
        <f>2+1</f>
        <v>3</v>
      </c>
      <c r="I322" s="49">
        <v>1</v>
      </c>
      <c r="J322" s="148"/>
      <c r="K322" s="149"/>
      <c r="L322" s="150"/>
      <c r="M322" s="75"/>
    </row>
    <row r="323" spans="1:13" ht="13.5" customHeight="1" x14ac:dyDescent="0.25">
      <c r="A323" s="89">
        <v>256</v>
      </c>
      <c r="B323" s="48">
        <v>45765</v>
      </c>
      <c r="C323" s="70" t="s">
        <v>5</v>
      </c>
      <c r="D323" s="110" t="s">
        <v>400</v>
      </c>
      <c r="E323" s="70" t="s">
        <v>6</v>
      </c>
      <c r="F323" s="70" t="s">
        <v>7</v>
      </c>
      <c r="G323" s="70">
        <f>(14.3*3.8)</f>
        <v>54.34</v>
      </c>
      <c r="H323" s="70">
        <f>3+1</f>
        <v>4</v>
      </c>
      <c r="I323" s="70">
        <v>1</v>
      </c>
      <c r="J323" s="148"/>
      <c r="K323" s="149"/>
      <c r="L323" s="150"/>
      <c r="M323" s="90"/>
    </row>
    <row r="324" spans="1:13" ht="13.5" customHeight="1" x14ac:dyDescent="0.25">
      <c r="A324" s="89">
        <v>257</v>
      </c>
      <c r="B324" s="48">
        <v>45765</v>
      </c>
      <c r="C324" s="70" t="s">
        <v>5</v>
      </c>
      <c r="D324" s="111" t="s">
        <v>476</v>
      </c>
      <c r="E324" s="49" t="s">
        <v>6</v>
      </c>
      <c r="F324" s="49" t="s">
        <v>7</v>
      </c>
      <c r="G324" s="49">
        <f>((83+70)/2)*19</f>
        <v>1453.5</v>
      </c>
      <c r="H324" s="49">
        <f>20+29+6</f>
        <v>55</v>
      </c>
      <c r="I324" s="49">
        <v>6</v>
      </c>
      <c r="J324" s="148"/>
      <c r="K324" s="149"/>
      <c r="L324" s="150"/>
      <c r="M324" s="75"/>
    </row>
    <row r="325" spans="1:13" ht="13.5" customHeight="1" thickBot="1" x14ac:dyDescent="0.3">
      <c r="A325" s="89">
        <v>258</v>
      </c>
      <c r="B325" s="58">
        <v>45765</v>
      </c>
      <c r="C325" s="65" t="s">
        <v>5</v>
      </c>
      <c r="D325" s="112" t="s">
        <v>477</v>
      </c>
      <c r="E325" s="65" t="s">
        <v>6</v>
      </c>
      <c r="F325" s="65" t="s">
        <v>7</v>
      </c>
      <c r="G325" s="66">
        <f>21*50</f>
        <v>1050</v>
      </c>
      <c r="H325" s="65">
        <f>13+3+13</f>
        <v>29</v>
      </c>
      <c r="I325" s="65">
        <v>3</v>
      </c>
      <c r="J325" s="153"/>
      <c r="K325" s="154"/>
      <c r="L325" s="155"/>
      <c r="M325" s="91"/>
    </row>
    <row r="326" spans="1:13" ht="13.5" customHeight="1" thickBot="1" x14ac:dyDescent="0.3">
      <c r="A326" s="151" t="s">
        <v>283</v>
      </c>
      <c r="B326" s="152"/>
      <c r="C326" s="152"/>
      <c r="D326" s="152"/>
      <c r="E326" s="152"/>
      <c r="F326" s="152"/>
      <c r="G326" s="12"/>
      <c r="H326" s="12"/>
      <c r="I326" s="12"/>
      <c r="J326" s="12"/>
      <c r="K326" s="12"/>
      <c r="L326" s="12"/>
      <c r="M326" s="13"/>
    </row>
    <row r="327" spans="1:13" ht="13.5" customHeight="1" x14ac:dyDescent="0.25">
      <c r="A327" s="61">
        <v>259</v>
      </c>
      <c r="B327" s="79">
        <v>45765</v>
      </c>
      <c r="C327" s="38" t="s">
        <v>5</v>
      </c>
      <c r="D327" s="92" t="s">
        <v>284</v>
      </c>
      <c r="E327" s="38" t="s">
        <v>6</v>
      </c>
      <c r="F327" s="38" t="s">
        <v>7</v>
      </c>
      <c r="G327" s="64">
        <f>(11*16)+((10*17)/2)</f>
        <v>261</v>
      </c>
      <c r="H327" s="38">
        <f>4+1</f>
        <v>5</v>
      </c>
      <c r="I327" s="38">
        <v>1</v>
      </c>
      <c r="J327" s="145" t="s">
        <v>443</v>
      </c>
      <c r="K327" s="146"/>
      <c r="L327" s="147"/>
      <c r="M327" s="80"/>
    </row>
    <row r="328" spans="1:13" ht="13.5" customHeight="1" thickBot="1" x14ac:dyDescent="0.3">
      <c r="A328" s="18">
        <v>260</v>
      </c>
      <c r="B328" s="19">
        <v>45765</v>
      </c>
      <c r="C328" s="20" t="s">
        <v>5</v>
      </c>
      <c r="D328" s="46" t="s">
        <v>285</v>
      </c>
      <c r="E328" s="20" t="s">
        <v>6</v>
      </c>
      <c r="F328" s="20" t="s">
        <v>7</v>
      </c>
      <c r="G328" s="40">
        <f>28*10</f>
        <v>280</v>
      </c>
      <c r="H328" s="20">
        <f>7+1</f>
        <v>8</v>
      </c>
      <c r="I328" s="20">
        <v>1</v>
      </c>
      <c r="J328" s="153"/>
      <c r="K328" s="154"/>
      <c r="L328" s="155"/>
      <c r="M328" s="21"/>
    </row>
    <row r="329" spans="1:13" ht="13.5" customHeight="1" thickBot="1" x14ac:dyDescent="0.3">
      <c r="A329" s="151" t="s">
        <v>286</v>
      </c>
      <c r="B329" s="152"/>
      <c r="C329" s="152"/>
      <c r="D329" s="152"/>
      <c r="E329" s="152"/>
      <c r="F329" s="152"/>
      <c r="G329" s="12"/>
      <c r="H329" s="12"/>
      <c r="I329" s="12"/>
      <c r="J329" s="12"/>
      <c r="K329" s="12"/>
      <c r="L329" s="12"/>
      <c r="M329" s="13"/>
    </row>
    <row r="330" spans="1:13" ht="21.75" customHeight="1" thickBot="1" x14ac:dyDescent="0.3">
      <c r="A330" s="14">
        <v>261</v>
      </c>
      <c r="B330" s="15">
        <v>45766</v>
      </c>
      <c r="C330" s="16" t="s">
        <v>5</v>
      </c>
      <c r="D330" s="45" t="s">
        <v>287</v>
      </c>
      <c r="E330" s="16" t="s">
        <v>6</v>
      </c>
      <c r="F330" s="16" t="s">
        <v>7</v>
      </c>
      <c r="G330" s="16">
        <f>(42*(2.8+4)/2)</f>
        <v>142.79999999999998</v>
      </c>
      <c r="H330" s="16">
        <f>4+1</f>
        <v>5</v>
      </c>
      <c r="I330" s="16">
        <v>1</v>
      </c>
      <c r="J330" s="145" t="s">
        <v>443</v>
      </c>
      <c r="K330" s="146"/>
      <c r="L330" s="147"/>
      <c r="M330" s="17"/>
    </row>
    <row r="331" spans="1:13" ht="13.5" customHeight="1" thickBot="1" x14ac:dyDescent="0.3">
      <c r="A331" s="151" t="s">
        <v>288</v>
      </c>
      <c r="B331" s="152"/>
      <c r="C331" s="152"/>
      <c r="D331" s="152"/>
      <c r="E331" s="152"/>
      <c r="F331" s="152"/>
      <c r="G331" s="12"/>
      <c r="H331" s="12"/>
      <c r="I331" s="12"/>
      <c r="J331" s="12"/>
      <c r="K331" s="12"/>
      <c r="L331" s="12"/>
      <c r="M331" s="13"/>
    </row>
    <row r="332" spans="1:13" ht="13.5" customHeight="1" x14ac:dyDescent="0.25">
      <c r="A332" s="61">
        <v>262</v>
      </c>
      <c r="B332" s="15">
        <v>45766</v>
      </c>
      <c r="C332" s="16" t="s">
        <v>5</v>
      </c>
      <c r="D332" s="45" t="s">
        <v>202</v>
      </c>
      <c r="E332" s="16" t="s">
        <v>6</v>
      </c>
      <c r="F332" s="16" t="s">
        <v>7</v>
      </c>
      <c r="G332" s="16">
        <f>(3*7.4*2.3)+(1*7.4*2.3)</f>
        <v>68.08</v>
      </c>
      <c r="H332" s="16">
        <f>3+1</f>
        <v>4</v>
      </c>
      <c r="I332" s="16">
        <v>1</v>
      </c>
      <c r="J332" s="145" t="s">
        <v>443</v>
      </c>
      <c r="K332" s="146"/>
      <c r="L332" s="147"/>
      <c r="M332" s="17"/>
    </row>
    <row r="333" spans="1:13" ht="13.5" customHeight="1" x14ac:dyDescent="0.25">
      <c r="A333" s="18">
        <v>263</v>
      </c>
      <c r="B333" s="19">
        <v>45766</v>
      </c>
      <c r="C333" s="20" t="s">
        <v>5</v>
      </c>
      <c r="D333" s="46" t="s">
        <v>289</v>
      </c>
      <c r="E333" s="20" t="s">
        <v>6</v>
      </c>
      <c r="F333" s="20" t="s">
        <v>7</v>
      </c>
      <c r="G333" s="43">
        <f>22*11</f>
        <v>242</v>
      </c>
      <c r="H333" s="20">
        <f>5+1</f>
        <v>6</v>
      </c>
      <c r="I333" s="20">
        <v>1</v>
      </c>
      <c r="J333" s="148"/>
      <c r="K333" s="149"/>
      <c r="L333" s="150"/>
      <c r="M333" s="21"/>
    </row>
    <row r="334" spans="1:13" ht="13.5" customHeight="1" x14ac:dyDescent="0.25">
      <c r="A334" s="18">
        <v>264</v>
      </c>
      <c r="B334" s="19">
        <v>45766</v>
      </c>
      <c r="C334" s="20" t="s">
        <v>5</v>
      </c>
      <c r="D334" s="46" t="s">
        <v>290</v>
      </c>
      <c r="E334" s="20" t="s">
        <v>6</v>
      </c>
      <c r="F334" s="20" t="s">
        <v>7</v>
      </c>
      <c r="G334" s="44">
        <f>(38*5)+(35*5)</f>
        <v>365</v>
      </c>
      <c r="H334" s="20">
        <f>6+1+9+1</f>
        <v>17</v>
      </c>
      <c r="I334" s="20">
        <v>2</v>
      </c>
      <c r="J334" s="148"/>
      <c r="K334" s="149"/>
      <c r="L334" s="150"/>
      <c r="M334" s="21"/>
    </row>
    <row r="335" spans="1:13" ht="13.5" customHeight="1" x14ac:dyDescent="0.25">
      <c r="A335" s="18">
        <v>265</v>
      </c>
      <c r="B335" s="19">
        <v>45766</v>
      </c>
      <c r="C335" s="20" t="s">
        <v>5</v>
      </c>
      <c r="D335" s="46" t="s">
        <v>291</v>
      </c>
      <c r="E335" s="20" t="s">
        <v>6</v>
      </c>
      <c r="F335" s="20" t="s">
        <v>7</v>
      </c>
      <c r="G335" s="44">
        <f>(24*2.7*6)+(3*3.6*6)</f>
        <v>453.60000000000008</v>
      </c>
      <c r="H335" s="20">
        <f>24+3</f>
        <v>27</v>
      </c>
      <c r="I335" s="20">
        <v>3</v>
      </c>
      <c r="J335" s="148"/>
      <c r="K335" s="149"/>
      <c r="L335" s="150"/>
      <c r="M335" s="21"/>
    </row>
    <row r="336" spans="1:13" ht="13.5" customHeight="1" x14ac:dyDescent="0.25">
      <c r="A336" s="18">
        <v>266</v>
      </c>
      <c r="B336" s="19">
        <v>45766</v>
      </c>
      <c r="C336" s="20" t="s">
        <v>5</v>
      </c>
      <c r="D336" s="46" t="s">
        <v>292</v>
      </c>
      <c r="E336" s="20" t="s">
        <v>6</v>
      </c>
      <c r="F336" s="20" t="s">
        <v>7</v>
      </c>
      <c r="G336" s="52">
        <f>(34*5)+(35*5)</f>
        <v>345</v>
      </c>
      <c r="H336" s="20">
        <f>7+1+10+1</f>
        <v>19</v>
      </c>
      <c r="I336" s="20">
        <v>2</v>
      </c>
      <c r="J336" s="148"/>
      <c r="K336" s="149"/>
      <c r="L336" s="150"/>
      <c r="M336" s="21"/>
    </row>
    <row r="337" spans="1:13" ht="13.5" customHeight="1" thickBot="1" x14ac:dyDescent="0.3">
      <c r="A337" s="32">
        <v>267</v>
      </c>
      <c r="B337" s="19">
        <v>45766</v>
      </c>
      <c r="C337" s="34" t="s">
        <v>5</v>
      </c>
      <c r="D337" s="105" t="s">
        <v>293</v>
      </c>
      <c r="E337" s="34" t="s">
        <v>6</v>
      </c>
      <c r="F337" s="34" t="s">
        <v>7</v>
      </c>
      <c r="G337" s="34">
        <f>(69*3.5)</f>
        <v>241.5</v>
      </c>
      <c r="H337" s="34">
        <f>8+1</f>
        <v>9</v>
      </c>
      <c r="I337" s="34">
        <v>1</v>
      </c>
      <c r="J337" s="153"/>
      <c r="K337" s="154"/>
      <c r="L337" s="155"/>
      <c r="M337" s="35"/>
    </row>
    <row r="338" spans="1:13" ht="13.5" customHeight="1" thickBot="1" x14ac:dyDescent="0.3">
      <c r="A338" s="151" t="s">
        <v>233</v>
      </c>
      <c r="B338" s="152"/>
      <c r="C338" s="152"/>
      <c r="D338" s="152"/>
      <c r="E338" s="152"/>
      <c r="F338" s="152"/>
      <c r="G338" s="12"/>
      <c r="H338" s="12"/>
      <c r="I338" s="12"/>
      <c r="J338" s="12"/>
      <c r="K338" s="12"/>
      <c r="L338" s="12"/>
      <c r="M338" s="13"/>
    </row>
    <row r="339" spans="1:13" ht="13.5" customHeight="1" x14ac:dyDescent="0.25">
      <c r="A339" s="14">
        <v>268</v>
      </c>
      <c r="B339" s="15">
        <v>45768</v>
      </c>
      <c r="C339" s="16" t="s">
        <v>5</v>
      </c>
      <c r="D339" s="45" t="s">
        <v>234</v>
      </c>
      <c r="E339" s="16" t="s">
        <v>6</v>
      </c>
      <c r="F339" s="16" t="s">
        <v>7</v>
      </c>
      <c r="G339" s="16">
        <f>(13*2.6*4.5)+(2*3.6*4.5)</f>
        <v>184.50000000000003</v>
      </c>
      <c r="H339" s="16">
        <f>13+2</f>
        <v>15</v>
      </c>
      <c r="I339" s="16">
        <v>2</v>
      </c>
      <c r="J339" s="145" t="s">
        <v>443</v>
      </c>
      <c r="K339" s="146"/>
      <c r="L339" s="147"/>
      <c r="M339" s="17"/>
    </row>
    <row r="340" spans="1:13" ht="13.5" customHeight="1" x14ac:dyDescent="0.25">
      <c r="A340" s="18">
        <v>269</v>
      </c>
      <c r="B340" s="19">
        <v>45768</v>
      </c>
      <c r="C340" s="20" t="s">
        <v>5</v>
      </c>
      <c r="D340" s="46" t="s">
        <v>235</v>
      </c>
      <c r="E340" s="20" t="s">
        <v>6</v>
      </c>
      <c r="F340" s="20" t="s">
        <v>7</v>
      </c>
      <c r="G340" s="43">
        <f>26*2.5</f>
        <v>65</v>
      </c>
      <c r="H340" s="20">
        <f>2+1</f>
        <v>3</v>
      </c>
      <c r="I340" s="20">
        <v>1</v>
      </c>
      <c r="J340" s="148"/>
      <c r="K340" s="149"/>
      <c r="L340" s="150"/>
      <c r="M340" s="21"/>
    </row>
    <row r="341" spans="1:13" ht="13.5" customHeight="1" thickBot="1" x14ac:dyDescent="0.3">
      <c r="A341" s="18">
        <v>270</v>
      </c>
      <c r="B341" s="19">
        <v>45768</v>
      </c>
      <c r="C341" s="20" t="s">
        <v>5</v>
      </c>
      <c r="D341" s="46" t="s">
        <v>236</v>
      </c>
      <c r="E341" s="20" t="s">
        <v>6</v>
      </c>
      <c r="F341" s="20" t="s">
        <v>7</v>
      </c>
      <c r="G341" s="44">
        <f>29*3</f>
        <v>87</v>
      </c>
      <c r="H341" s="20">
        <f>1+1</f>
        <v>2</v>
      </c>
      <c r="I341" s="20">
        <v>1</v>
      </c>
      <c r="J341" s="148"/>
      <c r="K341" s="149"/>
      <c r="L341" s="150"/>
      <c r="M341" s="21"/>
    </row>
    <row r="342" spans="1:13" ht="13.5" customHeight="1" thickBot="1" x14ac:dyDescent="0.3">
      <c r="A342" s="151" t="s">
        <v>294</v>
      </c>
      <c r="B342" s="152"/>
      <c r="C342" s="152"/>
      <c r="D342" s="152"/>
      <c r="E342" s="152"/>
      <c r="F342" s="152"/>
      <c r="G342" s="12"/>
      <c r="H342" s="12"/>
      <c r="I342" s="12"/>
      <c r="J342" s="12"/>
      <c r="K342" s="12"/>
      <c r="L342" s="12"/>
      <c r="M342" s="13"/>
    </row>
    <row r="343" spans="1:13" ht="13.5" customHeight="1" x14ac:dyDescent="0.25">
      <c r="A343" s="14">
        <v>271</v>
      </c>
      <c r="B343" s="15">
        <v>45768</v>
      </c>
      <c r="C343" s="16" t="s">
        <v>5</v>
      </c>
      <c r="D343" s="45" t="s">
        <v>295</v>
      </c>
      <c r="E343" s="16" t="s">
        <v>6</v>
      </c>
      <c r="F343" s="16" t="s">
        <v>7</v>
      </c>
      <c r="G343" s="16">
        <f>(((77+89)/2)*7.5)-(7.5*7.5)</f>
        <v>566.25</v>
      </c>
      <c r="H343" s="16">
        <f>18+2+6+1</f>
        <v>27</v>
      </c>
      <c r="I343" s="16">
        <f>2+1</f>
        <v>3</v>
      </c>
      <c r="J343" s="145" t="s">
        <v>443</v>
      </c>
      <c r="K343" s="146"/>
      <c r="L343" s="147"/>
      <c r="M343" s="17"/>
    </row>
    <row r="344" spans="1:13" ht="13.5" customHeight="1" x14ac:dyDescent="0.25">
      <c r="A344" s="18">
        <v>272</v>
      </c>
      <c r="B344" s="19">
        <v>45768</v>
      </c>
      <c r="C344" s="20" t="s">
        <v>5</v>
      </c>
      <c r="D344" s="46" t="s">
        <v>455</v>
      </c>
      <c r="E344" s="20" t="s">
        <v>6</v>
      </c>
      <c r="F344" s="20" t="s">
        <v>7</v>
      </c>
      <c r="G344" s="24">
        <f>67*26</f>
        <v>1742</v>
      </c>
      <c r="H344" s="24">
        <f>(18+2)+(18+2)</f>
        <v>40</v>
      </c>
      <c r="I344" s="24">
        <v>4</v>
      </c>
      <c r="J344" s="148"/>
      <c r="K344" s="149"/>
      <c r="L344" s="150"/>
      <c r="M344" s="21"/>
    </row>
    <row r="345" spans="1:13" ht="13.5" customHeight="1" thickBot="1" x14ac:dyDescent="0.3">
      <c r="A345" s="18">
        <v>273</v>
      </c>
      <c r="B345" s="19">
        <v>45768</v>
      </c>
      <c r="C345" s="20" t="s">
        <v>5</v>
      </c>
      <c r="D345" s="46" t="s">
        <v>296</v>
      </c>
      <c r="E345" s="20" t="s">
        <v>6</v>
      </c>
      <c r="F345" s="20" t="s">
        <v>7</v>
      </c>
      <c r="G345" s="31">
        <f>(10*2.5*5)+(1*3.6*6)</f>
        <v>146.6</v>
      </c>
      <c r="H345" s="20">
        <f>9+2</f>
        <v>11</v>
      </c>
      <c r="I345" s="20">
        <v>2</v>
      </c>
      <c r="J345" s="148"/>
      <c r="K345" s="149"/>
      <c r="L345" s="150"/>
      <c r="M345" s="21"/>
    </row>
    <row r="346" spans="1:13" ht="13.5" customHeight="1" thickBot="1" x14ac:dyDescent="0.3">
      <c r="A346" s="151" t="s">
        <v>434</v>
      </c>
      <c r="B346" s="152"/>
      <c r="C346" s="152"/>
      <c r="D346" s="152"/>
      <c r="E346" s="152"/>
      <c r="F346" s="36"/>
      <c r="G346" s="36"/>
      <c r="H346" s="36"/>
      <c r="I346" s="36"/>
      <c r="J346" s="36"/>
      <c r="K346" s="36"/>
      <c r="L346" s="36"/>
      <c r="M346" s="37"/>
    </row>
    <row r="347" spans="1:13" ht="13.5" customHeight="1" x14ac:dyDescent="0.25">
      <c r="A347" s="18">
        <v>274</v>
      </c>
      <c r="B347" s="19">
        <v>45768</v>
      </c>
      <c r="C347" s="20" t="s">
        <v>5</v>
      </c>
      <c r="D347" s="46" t="s">
        <v>126</v>
      </c>
      <c r="E347" s="20" t="s">
        <v>6</v>
      </c>
      <c r="F347" s="20" t="s">
        <v>7</v>
      </c>
      <c r="G347" s="20">
        <f>(4*7.7*3)+(4*7.7*3)</f>
        <v>184.8</v>
      </c>
      <c r="H347" s="20">
        <f>3+1+4</f>
        <v>8</v>
      </c>
      <c r="I347" s="20">
        <v>1</v>
      </c>
      <c r="J347" s="148" t="s">
        <v>443</v>
      </c>
      <c r="K347" s="149"/>
      <c r="L347" s="150"/>
      <c r="M347" s="68"/>
    </row>
    <row r="348" spans="1:13" ht="13.5" customHeight="1" x14ac:dyDescent="0.25">
      <c r="A348" s="42">
        <v>275</v>
      </c>
      <c r="B348" s="48">
        <v>45768</v>
      </c>
      <c r="C348" s="31" t="s">
        <v>5</v>
      </c>
      <c r="D348" s="107" t="s">
        <v>468</v>
      </c>
      <c r="E348" s="31" t="s">
        <v>6</v>
      </c>
      <c r="F348" s="31" t="s">
        <v>7</v>
      </c>
      <c r="G348" s="31">
        <f>(49*7.5)</f>
        <v>367.5</v>
      </c>
      <c r="H348" s="31">
        <f>14+2</f>
        <v>16</v>
      </c>
      <c r="I348" s="31">
        <v>2</v>
      </c>
      <c r="J348" s="148"/>
      <c r="K348" s="149"/>
      <c r="L348" s="150"/>
      <c r="M348" s="69"/>
    </row>
    <row r="349" spans="1:13" ht="13.5" customHeight="1" x14ac:dyDescent="0.25">
      <c r="A349" s="42">
        <v>276</v>
      </c>
      <c r="B349" s="48">
        <v>45768</v>
      </c>
      <c r="C349" s="31" t="s">
        <v>5</v>
      </c>
      <c r="D349" s="107" t="s">
        <v>127</v>
      </c>
      <c r="E349" s="31" t="s">
        <v>6</v>
      </c>
      <c r="F349" s="31" t="s">
        <v>7</v>
      </c>
      <c r="G349" s="31">
        <f>(5*2.9*5)+(1*4*6)</f>
        <v>96.5</v>
      </c>
      <c r="H349" s="31">
        <f>5+1</f>
        <v>6</v>
      </c>
      <c r="I349" s="31">
        <v>1</v>
      </c>
      <c r="J349" s="148"/>
      <c r="K349" s="149"/>
      <c r="L349" s="150"/>
      <c r="M349" s="69"/>
    </row>
    <row r="350" spans="1:13" ht="13.5" customHeight="1" x14ac:dyDescent="0.25">
      <c r="A350" s="18">
        <v>277</v>
      </c>
      <c r="B350" s="48">
        <v>45768</v>
      </c>
      <c r="C350" s="20" t="s">
        <v>5</v>
      </c>
      <c r="D350" s="46" t="s">
        <v>127</v>
      </c>
      <c r="E350" s="31" t="s">
        <v>6</v>
      </c>
      <c r="F350" s="31" t="s">
        <v>7</v>
      </c>
      <c r="G350" s="43">
        <f>(67*5)</f>
        <v>335</v>
      </c>
      <c r="H350" s="31">
        <f>22+3</f>
        <v>25</v>
      </c>
      <c r="I350" s="31">
        <v>3</v>
      </c>
      <c r="J350" s="148"/>
      <c r="K350" s="149"/>
      <c r="L350" s="150"/>
      <c r="M350" s="69"/>
    </row>
    <row r="351" spans="1:13" ht="13.5" customHeight="1" x14ac:dyDescent="0.25">
      <c r="A351" s="42">
        <v>278</v>
      </c>
      <c r="B351" s="48">
        <v>45768</v>
      </c>
      <c r="C351" s="31" t="s">
        <v>5</v>
      </c>
      <c r="D351" s="107" t="s">
        <v>128</v>
      </c>
      <c r="E351" s="31" t="s">
        <v>6</v>
      </c>
      <c r="F351" s="31" t="s">
        <v>7</v>
      </c>
      <c r="G351" s="31">
        <f>(4*2.5*5)+(1*3.6*5)+(39*2.5*5)+(4*3.6*5)+(29*2.5*6.5)+(3*3.6*7)</f>
        <v>1174.3499999999999</v>
      </c>
      <c r="H351" s="31">
        <f>4+1+39+4+29+3</f>
        <v>80</v>
      </c>
      <c r="I351" s="31">
        <f>1+4+3</f>
        <v>8</v>
      </c>
      <c r="J351" s="148"/>
      <c r="K351" s="149"/>
      <c r="L351" s="150"/>
      <c r="M351" s="69"/>
    </row>
    <row r="352" spans="1:13" ht="13.5" customHeight="1" thickBot="1" x14ac:dyDescent="0.3">
      <c r="A352" s="42">
        <v>279</v>
      </c>
      <c r="B352" s="48">
        <v>45768</v>
      </c>
      <c r="C352" s="31" t="s">
        <v>5</v>
      </c>
      <c r="D352" s="107" t="s">
        <v>129</v>
      </c>
      <c r="E352" s="31" t="s">
        <v>6</v>
      </c>
      <c r="F352" s="31" t="s">
        <v>7</v>
      </c>
      <c r="G352" s="43">
        <f>(19*6)</f>
        <v>114</v>
      </c>
      <c r="H352" s="31">
        <f>5+1</f>
        <v>6</v>
      </c>
      <c r="I352" s="31">
        <v>1</v>
      </c>
      <c r="J352" s="148"/>
      <c r="K352" s="149"/>
      <c r="L352" s="150"/>
      <c r="M352" s="69"/>
    </row>
    <row r="353" spans="1:13" ht="13.5" customHeight="1" thickBot="1" x14ac:dyDescent="0.3">
      <c r="A353" s="151" t="s">
        <v>297</v>
      </c>
      <c r="B353" s="152"/>
      <c r="C353" s="152"/>
      <c r="D353" s="152"/>
      <c r="E353" s="152"/>
      <c r="F353" s="152"/>
      <c r="G353" s="12"/>
      <c r="H353" s="12"/>
      <c r="I353" s="12"/>
      <c r="J353" s="12"/>
      <c r="K353" s="12"/>
      <c r="L353" s="12"/>
      <c r="M353" s="13"/>
    </row>
    <row r="354" spans="1:13" ht="13.5" customHeight="1" x14ac:dyDescent="0.25">
      <c r="A354" s="61">
        <v>280</v>
      </c>
      <c r="B354" s="79">
        <v>45771</v>
      </c>
      <c r="C354" s="38" t="s">
        <v>5</v>
      </c>
      <c r="D354" s="92" t="s">
        <v>299</v>
      </c>
      <c r="E354" s="38" t="s">
        <v>6</v>
      </c>
      <c r="F354" s="38" t="s">
        <v>7</v>
      </c>
      <c r="G354" s="38">
        <f>(19.5*9)</f>
        <v>175.5</v>
      </c>
      <c r="H354" s="38">
        <f>5+1</f>
        <v>6</v>
      </c>
      <c r="I354" s="38">
        <v>1</v>
      </c>
      <c r="J354" s="162" t="s">
        <v>443</v>
      </c>
      <c r="K354" s="163"/>
      <c r="L354" s="164"/>
      <c r="M354" s="80"/>
    </row>
    <row r="355" spans="1:13" ht="13.5" customHeight="1" x14ac:dyDescent="0.25">
      <c r="A355" s="22">
        <v>281</v>
      </c>
      <c r="B355" s="23">
        <v>45771</v>
      </c>
      <c r="C355" s="24" t="s">
        <v>5</v>
      </c>
      <c r="D355" s="103" t="s">
        <v>300</v>
      </c>
      <c r="E355" s="24" t="s">
        <v>6</v>
      </c>
      <c r="F355" s="24" t="s">
        <v>7</v>
      </c>
      <c r="G355" s="49">
        <f>(49*6.35)</f>
        <v>311.14999999999998</v>
      </c>
      <c r="H355" s="24">
        <f>13+2</f>
        <v>15</v>
      </c>
      <c r="I355" s="24">
        <v>2</v>
      </c>
      <c r="J355" s="165"/>
      <c r="K355" s="166"/>
      <c r="L355" s="167"/>
      <c r="M355" s="25"/>
    </row>
    <row r="356" spans="1:13" ht="13.5" customHeight="1" x14ac:dyDescent="0.25">
      <c r="A356" s="22">
        <v>282</v>
      </c>
      <c r="B356" s="23">
        <v>45771</v>
      </c>
      <c r="C356" s="24" t="s">
        <v>5</v>
      </c>
      <c r="D356" s="103" t="s">
        <v>301</v>
      </c>
      <c r="E356" s="24" t="s">
        <v>6</v>
      </c>
      <c r="F356" s="24" t="s">
        <v>7</v>
      </c>
      <c r="G356" s="24">
        <f>(13*3.1*4)+(2*4*3)</f>
        <v>185.20000000000002</v>
      </c>
      <c r="H356" s="24">
        <f>13+2</f>
        <v>15</v>
      </c>
      <c r="I356" s="24">
        <v>2</v>
      </c>
      <c r="J356" s="165"/>
      <c r="K356" s="166"/>
      <c r="L356" s="167"/>
      <c r="M356" s="25"/>
    </row>
    <row r="357" spans="1:13" ht="13.5" customHeight="1" thickBot="1" x14ac:dyDescent="0.3">
      <c r="A357" s="22">
        <v>283</v>
      </c>
      <c r="B357" s="23">
        <v>45771</v>
      </c>
      <c r="C357" s="24" t="s">
        <v>5</v>
      </c>
      <c r="D357" s="103" t="s">
        <v>298</v>
      </c>
      <c r="E357" s="24" t="s">
        <v>6</v>
      </c>
      <c r="F357" s="24" t="s">
        <v>7</v>
      </c>
      <c r="G357" s="24">
        <f>(106*5.2)</f>
        <v>551.20000000000005</v>
      </c>
      <c r="H357" s="24">
        <f>33+4</f>
        <v>37</v>
      </c>
      <c r="I357" s="24">
        <v>4</v>
      </c>
      <c r="J357" s="168"/>
      <c r="K357" s="169"/>
      <c r="L357" s="170"/>
      <c r="M357" s="25"/>
    </row>
    <row r="358" spans="1:13" ht="13.5" customHeight="1" thickBot="1" x14ac:dyDescent="0.3">
      <c r="A358" s="151" t="s">
        <v>302</v>
      </c>
      <c r="B358" s="152"/>
      <c r="C358" s="152"/>
      <c r="D358" s="152"/>
      <c r="E358" s="152"/>
      <c r="F358" s="152"/>
      <c r="G358" s="12"/>
      <c r="H358" s="12"/>
      <c r="I358" s="12"/>
      <c r="J358" s="12"/>
      <c r="K358" s="12"/>
      <c r="L358" s="12"/>
      <c r="M358" s="13"/>
    </row>
    <row r="359" spans="1:13" ht="21.75" customHeight="1" thickBot="1" x14ac:dyDescent="0.3">
      <c r="A359" s="14">
        <v>284</v>
      </c>
      <c r="B359" s="15">
        <v>45771</v>
      </c>
      <c r="C359" s="16" t="s">
        <v>5</v>
      </c>
      <c r="D359" s="45" t="s">
        <v>303</v>
      </c>
      <c r="E359" s="16" t="s">
        <v>6</v>
      </c>
      <c r="F359" s="16" t="s">
        <v>7</v>
      </c>
      <c r="G359" s="16">
        <f>(16*3*(5+3))+(2*3.6*(6+2))</f>
        <v>441.6</v>
      </c>
      <c r="H359" s="16">
        <f>16+2</f>
        <v>18</v>
      </c>
      <c r="I359" s="16">
        <v>2</v>
      </c>
      <c r="J359" s="145" t="s">
        <v>443</v>
      </c>
      <c r="K359" s="146"/>
      <c r="L359" s="147"/>
      <c r="M359" s="17"/>
    </row>
    <row r="360" spans="1:13" ht="13.5" customHeight="1" thickBot="1" x14ac:dyDescent="0.3">
      <c r="A360" s="151" t="s">
        <v>156</v>
      </c>
      <c r="B360" s="152"/>
      <c r="C360" s="152"/>
      <c r="D360" s="152"/>
      <c r="E360" s="152"/>
      <c r="F360" s="152"/>
      <c r="G360" s="12"/>
      <c r="H360" s="12"/>
      <c r="I360" s="12"/>
      <c r="J360" s="12"/>
      <c r="K360" s="12"/>
      <c r="L360" s="12"/>
      <c r="M360" s="13"/>
    </row>
    <row r="361" spans="1:13" ht="13.5" customHeight="1" x14ac:dyDescent="0.25">
      <c r="A361" s="14">
        <v>285</v>
      </c>
      <c r="B361" s="15">
        <v>45772</v>
      </c>
      <c r="C361" s="16" t="s">
        <v>5</v>
      </c>
      <c r="D361" s="45" t="s">
        <v>157</v>
      </c>
      <c r="E361" s="16" t="s">
        <v>6</v>
      </c>
      <c r="F361" s="16" t="s">
        <v>7</v>
      </c>
      <c r="G361" s="16">
        <f>(12*5.6)</f>
        <v>67.199999999999989</v>
      </c>
      <c r="H361" s="16">
        <f>2+1</f>
        <v>3</v>
      </c>
      <c r="I361" s="16">
        <v>1</v>
      </c>
      <c r="J361" s="145" t="s">
        <v>443</v>
      </c>
      <c r="K361" s="146"/>
      <c r="L361" s="147"/>
      <c r="M361" s="17"/>
    </row>
    <row r="362" spans="1:13" ht="13.5" customHeight="1" x14ac:dyDescent="0.25">
      <c r="A362" s="18">
        <v>286</v>
      </c>
      <c r="B362" s="19">
        <v>45772</v>
      </c>
      <c r="C362" s="20" t="s">
        <v>5</v>
      </c>
      <c r="D362" s="46" t="s">
        <v>158</v>
      </c>
      <c r="E362" s="20" t="s">
        <v>6</v>
      </c>
      <c r="F362" s="20" t="s">
        <v>7</v>
      </c>
      <c r="G362" s="31">
        <f>(5*2.5*5.6)+(1*3.6*6)</f>
        <v>91.6</v>
      </c>
      <c r="H362" s="20">
        <f>5+1</f>
        <v>6</v>
      </c>
      <c r="I362" s="20">
        <v>1</v>
      </c>
      <c r="J362" s="148"/>
      <c r="K362" s="149"/>
      <c r="L362" s="150"/>
      <c r="M362" s="21"/>
    </row>
    <row r="363" spans="1:13" ht="13.5" customHeight="1" thickBot="1" x14ac:dyDescent="0.3">
      <c r="A363" s="18">
        <v>287</v>
      </c>
      <c r="B363" s="19">
        <v>45772</v>
      </c>
      <c r="C363" s="20" t="s">
        <v>5</v>
      </c>
      <c r="D363" s="46" t="s">
        <v>159</v>
      </c>
      <c r="E363" s="20" t="s">
        <v>6</v>
      </c>
      <c r="F363" s="20" t="s">
        <v>7</v>
      </c>
      <c r="G363" s="44">
        <f>20*3</f>
        <v>60</v>
      </c>
      <c r="H363" s="20">
        <f>1+1</f>
        <v>2</v>
      </c>
      <c r="I363" s="20">
        <v>1</v>
      </c>
      <c r="J363" s="148"/>
      <c r="K363" s="149"/>
      <c r="L363" s="150"/>
      <c r="M363" s="21"/>
    </row>
    <row r="364" spans="1:13" ht="13.5" customHeight="1" thickBot="1" x14ac:dyDescent="0.3">
      <c r="A364" s="151" t="s">
        <v>304</v>
      </c>
      <c r="B364" s="152"/>
      <c r="C364" s="152"/>
      <c r="D364" s="152"/>
      <c r="E364" s="152"/>
      <c r="F364" s="152"/>
      <c r="G364" s="12"/>
      <c r="H364" s="12"/>
      <c r="I364" s="12"/>
      <c r="J364" s="12"/>
      <c r="K364" s="12"/>
      <c r="L364" s="12"/>
      <c r="M364" s="13"/>
    </row>
    <row r="365" spans="1:13" ht="13.5" customHeight="1" x14ac:dyDescent="0.25">
      <c r="A365" s="61">
        <v>288</v>
      </c>
      <c r="B365" s="79">
        <v>45772</v>
      </c>
      <c r="C365" s="38" t="s">
        <v>5</v>
      </c>
      <c r="D365" s="92" t="s">
        <v>305</v>
      </c>
      <c r="E365" s="38" t="s">
        <v>6</v>
      </c>
      <c r="F365" s="38" t="s">
        <v>7</v>
      </c>
      <c r="G365" s="38">
        <f>(15*6)</f>
        <v>90</v>
      </c>
      <c r="H365" s="38">
        <f>4+1</f>
        <v>5</v>
      </c>
      <c r="I365" s="38">
        <v>1</v>
      </c>
      <c r="J365" s="162" t="s">
        <v>443</v>
      </c>
      <c r="K365" s="163"/>
      <c r="L365" s="164"/>
      <c r="M365" s="80"/>
    </row>
    <row r="366" spans="1:13" ht="13.5" customHeight="1" x14ac:dyDescent="0.25">
      <c r="A366" s="22">
        <v>289</v>
      </c>
      <c r="B366" s="23">
        <v>45772</v>
      </c>
      <c r="C366" s="24" t="s">
        <v>5</v>
      </c>
      <c r="D366" s="103" t="s">
        <v>306</v>
      </c>
      <c r="E366" s="24" t="s">
        <v>6</v>
      </c>
      <c r="F366" s="24" t="s">
        <v>7</v>
      </c>
      <c r="G366" s="49">
        <f>(7*2.9*5)+(1*4*6)</f>
        <v>125.5</v>
      </c>
      <c r="H366" s="24">
        <f>7+1</f>
        <v>8</v>
      </c>
      <c r="I366" s="24">
        <v>1</v>
      </c>
      <c r="J366" s="165"/>
      <c r="K366" s="166"/>
      <c r="L366" s="167"/>
      <c r="M366" s="25"/>
    </row>
    <row r="367" spans="1:13" ht="13.5" customHeight="1" x14ac:dyDescent="0.25">
      <c r="A367" s="22">
        <v>290</v>
      </c>
      <c r="B367" s="23">
        <v>45772</v>
      </c>
      <c r="C367" s="24" t="s">
        <v>5</v>
      </c>
      <c r="D367" s="103" t="s">
        <v>307</v>
      </c>
      <c r="E367" s="24" t="s">
        <v>6</v>
      </c>
      <c r="F367" s="24" t="s">
        <v>7</v>
      </c>
      <c r="G367" s="24">
        <f>(26.5*5)</f>
        <v>132.5</v>
      </c>
      <c r="H367" s="24">
        <f>4+3+1</f>
        <v>8</v>
      </c>
      <c r="I367" s="24">
        <v>1</v>
      </c>
      <c r="J367" s="165"/>
      <c r="K367" s="166"/>
      <c r="L367" s="167"/>
      <c r="M367" s="25"/>
    </row>
    <row r="368" spans="1:13" ht="13.5" customHeight="1" thickBot="1" x14ac:dyDescent="0.3">
      <c r="A368" s="22">
        <v>291</v>
      </c>
      <c r="B368" s="23">
        <v>45772</v>
      </c>
      <c r="C368" s="24" t="s">
        <v>5</v>
      </c>
      <c r="D368" s="103" t="s">
        <v>308</v>
      </c>
      <c r="E368" s="24" t="s">
        <v>6</v>
      </c>
      <c r="F368" s="24" t="s">
        <v>7</v>
      </c>
      <c r="G368" s="24">
        <f>2*8.5*2.75</f>
        <v>46.75</v>
      </c>
      <c r="H368" s="24">
        <f>1+1</f>
        <v>2</v>
      </c>
      <c r="I368" s="24">
        <v>1</v>
      </c>
      <c r="J368" s="168"/>
      <c r="K368" s="169"/>
      <c r="L368" s="170"/>
      <c r="M368" s="25"/>
    </row>
    <row r="369" spans="1:13" ht="13.5" customHeight="1" thickBot="1" x14ac:dyDescent="0.3">
      <c r="A369" s="151" t="s">
        <v>309</v>
      </c>
      <c r="B369" s="152"/>
      <c r="C369" s="152"/>
      <c r="D369" s="152"/>
      <c r="E369" s="152"/>
      <c r="F369" s="36"/>
      <c r="G369" s="36"/>
      <c r="H369" s="36"/>
      <c r="I369" s="36"/>
      <c r="J369" s="36"/>
      <c r="K369" s="36"/>
      <c r="L369" s="36"/>
      <c r="M369" s="37"/>
    </row>
    <row r="370" spans="1:13" ht="13.5" customHeight="1" x14ac:dyDescent="0.25">
      <c r="A370" s="18">
        <v>292</v>
      </c>
      <c r="B370" s="19">
        <v>45775</v>
      </c>
      <c r="C370" s="20" t="s">
        <v>5</v>
      </c>
      <c r="D370" s="46" t="s">
        <v>310</v>
      </c>
      <c r="E370" s="20" t="s">
        <v>6</v>
      </c>
      <c r="F370" s="20" t="s">
        <v>7</v>
      </c>
      <c r="G370" s="24">
        <f>(33*5.5)</f>
        <v>181.5</v>
      </c>
      <c r="H370" s="20">
        <f>9+1</f>
        <v>10</v>
      </c>
      <c r="I370" s="20">
        <v>1</v>
      </c>
      <c r="J370" s="145" t="s">
        <v>443</v>
      </c>
      <c r="K370" s="146"/>
      <c r="L370" s="147"/>
      <c r="M370" s="68"/>
    </row>
    <row r="371" spans="1:13" ht="13.5" customHeight="1" x14ac:dyDescent="0.25">
      <c r="A371" s="42">
        <v>293</v>
      </c>
      <c r="B371" s="48">
        <v>45775</v>
      </c>
      <c r="C371" s="31" t="s">
        <v>5</v>
      </c>
      <c r="D371" s="107" t="s">
        <v>311</v>
      </c>
      <c r="E371" s="31" t="s">
        <v>6</v>
      </c>
      <c r="F371" s="31" t="s">
        <v>7</v>
      </c>
      <c r="G371" s="31">
        <f>(12*4.5)+(32*2.8)</f>
        <v>143.6</v>
      </c>
      <c r="H371" s="31">
        <f>2+4</f>
        <v>6</v>
      </c>
      <c r="I371" s="31">
        <v>2</v>
      </c>
      <c r="J371" s="148"/>
      <c r="K371" s="149"/>
      <c r="L371" s="150"/>
      <c r="M371" s="69"/>
    </row>
    <row r="372" spans="1:13" ht="13.5" customHeight="1" x14ac:dyDescent="0.25">
      <c r="A372" s="42">
        <v>294</v>
      </c>
      <c r="B372" s="48">
        <v>45775</v>
      </c>
      <c r="C372" s="31" t="s">
        <v>5</v>
      </c>
      <c r="D372" s="107" t="s">
        <v>312</v>
      </c>
      <c r="E372" s="31" t="s">
        <v>6</v>
      </c>
      <c r="F372" s="31" t="s">
        <v>7</v>
      </c>
      <c r="G372" s="31">
        <f>(47*5.7)</f>
        <v>267.90000000000003</v>
      </c>
      <c r="H372" s="31">
        <f>9+2</f>
        <v>11</v>
      </c>
      <c r="I372" s="31">
        <v>2</v>
      </c>
      <c r="J372" s="148"/>
      <c r="K372" s="149"/>
      <c r="L372" s="150"/>
      <c r="M372" s="69"/>
    </row>
    <row r="373" spans="1:13" ht="13.5" customHeight="1" x14ac:dyDescent="0.25">
      <c r="A373" s="42">
        <v>295</v>
      </c>
      <c r="B373" s="48">
        <v>45775</v>
      </c>
      <c r="C373" s="31" t="s">
        <v>5</v>
      </c>
      <c r="D373" s="107" t="s">
        <v>313</v>
      </c>
      <c r="E373" s="31" t="s">
        <v>6</v>
      </c>
      <c r="F373" s="31" t="s">
        <v>7</v>
      </c>
      <c r="G373" s="43">
        <f>(12*5)+(15*5)+(25*5)</f>
        <v>260</v>
      </c>
      <c r="H373" s="31">
        <f>12+2</f>
        <v>14</v>
      </c>
      <c r="I373" s="31">
        <v>2</v>
      </c>
      <c r="J373" s="148"/>
      <c r="K373" s="149"/>
      <c r="L373" s="150"/>
      <c r="M373" s="69"/>
    </row>
    <row r="374" spans="1:13" ht="13.5" customHeight="1" x14ac:dyDescent="0.25">
      <c r="A374" s="42">
        <v>296</v>
      </c>
      <c r="B374" s="48">
        <v>45775</v>
      </c>
      <c r="C374" s="31" t="s">
        <v>5</v>
      </c>
      <c r="D374" s="107" t="s">
        <v>314</v>
      </c>
      <c r="E374" s="31" t="s">
        <v>6</v>
      </c>
      <c r="F374" s="31" t="s">
        <v>7</v>
      </c>
      <c r="G374" s="31">
        <f>(19*3.8)</f>
        <v>72.2</v>
      </c>
      <c r="H374" s="31">
        <f>4+1</f>
        <v>5</v>
      </c>
      <c r="I374" s="31">
        <v>1</v>
      </c>
      <c r="J374" s="148"/>
      <c r="K374" s="149"/>
      <c r="L374" s="150"/>
      <c r="M374" s="69"/>
    </row>
    <row r="375" spans="1:13" ht="13.5" customHeight="1" x14ac:dyDescent="0.25">
      <c r="A375" s="42">
        <v>297</v>
      </c>
      <c r="B375" s="48">
        <v>45775</v>
      </c>
      <c r="C375" s="49" t="s">
        <v>5</v>
      </c>
      <c r="D375" s="106" t="s">
        <v>315</v>
      </c>
      <c r="E375" s="49" t="s">
        <v>6</v>
      </c>
      <c r="F375" s="49" t="s">
        <v>7</v>
      </c>
      <c r="G375" s="55">
        <f>33*3</f>
        <v>99</v>
      </c>
      <c r="H375" s="49">
        <f>3+1</f>
        <v>4</v>
      </c>
      <c r="I375" s="49">
        <v>1</v>
      </c>
      <c r="J375" s="148"/>
      <c r="K375" s="149"/>
      <c r="L375" s="150"/>
      <c r="M375" s="75"/>
    </row>
    <row r="376" spans="1:13" ht="13.5" customHeight="1" thickBot="1" x14ac:dyDescent="0.3">
      <c r="A376" s="42">
        <v>298</v>
      </c>
      <c r="B376" s="48">
        <v>45775</v>
      </c>
      <c r="C376" s="49" t="s">
        <v>5</v>
      </c>
      <c r="D376" s="107" t="s">
        <v>316</v>
      </c>
      <c r="E376" s="49" t="s">
        <v>6</v>
      </c>
      <c r="F376" s="49" t="s">
        <v>7</v>
      </c>
      <c r="G376" s="49">
        <f>18*3.8</f>
        <v>68.399999999999991</v>
      </c>
      <c r="H376" s="49">
        <f>2+1</f>
        <v>3</v>
      </c>
      <c r="I376" s="49">
        <v>1</v>
      </c>
      <c r="J376" s="153"/>
      <c r="K376" s="154"/>
      <c r="L376" s="155"/>
      <c r="M376" s="75"/>
    </row>
    <row r="377" spans="1:13" ht="13.5" customHeight="1" thickBot="1" x14ac:dyDescent="0.3">
      <c r="A377" s="151" t="s">
        <v>435</v>
      </c>
      <c r="B377" s="152"/>
      <c r="C377" s="152"/>
      <c r="D377" s="152"/>
      <c r="E377" s="152"/>
      <c r="F377" s="36"/>
      <c r="G377" s="36"/>
      <c r="H377" s="36"/>
      <c r="I377" s="36"/>
      <c r="J377" s="36"/>
      <c r="K377" s="36"/>
      <c r="L377" s="36"/>
      <c r="M377" s="37"/>
    </row>
    <row r="378" spans="1:13" ht="13.5" customHeight="1" x14ac:dyDescent="0.25">
      <c r="A378" s="18">
        <v>299</v>
      </c>
      <c r="B378" s="19">
        <v>45776</v>
      </c>
      <c r="C378" s="20" t="s">
        <v>5</v>
      </c>
      <c r="D378" s="103" t="s">
        <v>45</v>
      </c>
      <c r="E378" s="20" t="s">
        <v>6</v>
      </c>
      <c r="F378" s="20" t="s">
        <v>7</v>
      </c>
      <c r="G378" s="44">
        <f>27*6</f>
        <v>162</v>
      </c>
      <c r="H378" s="20">
        <f>6+1</f>
        <v>7</v>
      </c>
      <c r="I378" s="20">
        <v>1</v>
      </c>
      <c r="J378" s="148" t="s">
        <v>443</v>
      </c>
      <c r="K378" s="149"/>
      <c r="L378" s="150"/>
      <c r="M378" s="68"/>
    </row>
    <row r="379" spans="1:13" ht="13.5" customHeight="1" x14ac:dyDescent="0.25">
      <c r="A379" s="42">
        <v>300</v>
      </c>
      <c r="B379" s="48">
        <v>45776</v>
      </c>
      <c r="C379" s="31" t="s">
        <v>5</v>
      </c>
      <c r="D379" s="106" t="s">
        <v>46</v>
      </c>
      <c r="E379" s="31" t="s">
        <v>6</v>
      </c>
      <c r="F379" s="31" t="s">
        <v>7</v>
      </c>
      <c r="G379" s="43">
        <f>44.5*6</f>
        <v>267</v>
      </c>
      <c r="H379" s="31">
        <f>10+2</f>
        <v>12</v>
      </c>
      <c r="I379" s="31">
        <v>2</v>
      </c>
      <c r="J379" s="148"/>
      <c r="K379" s="149"/>
      <c r="L379" s="150"/>
      <c r="M379" s="69"/>
    </row>
    <row r="380" spans="1:13" ht="13.5" customHeight="1" x14ac:dyDescent="0.25">
      <c r="A380" s="42">
        <v>301</v>
      </c>
      <c r="B380" s="48">
        <v>45776</v>
      </c>
      <c r="C380" s="31" t="s">
        <v>5</v>
      </c>
      <c r="D380" s="106" t="s">
        <v>47</v>
      </c>
      <c r="E380" s="31" t="s">
        <v>6</v>
      </c>
      <c r="F380" s="31" t="s">
        <v>7</v>
      </c>
      <c r="G380" s="43">
        <f>56*6</f>
        <v>336</v>
      </c>
      <c r="H380" s="31">
        <f>18+2</f>
        <v>20</v>
      </c>
      <c r="I380" s="31">
        <v>2</v>
      </c>
      <c r="J380" s="148"/>
      <c r="K380" s="149"/>
      <c r="L380" s="150"/>
      <c r="M380" s="69"/>
    </row>
    <row r="381" spans="1:13" ht="13.5" customHeight="1" x14ac:dyDescent="0.25">
      <c r="A381" s="42">
        <v>302</v>
      </c>
      <c r="B381" s="48">
        <v>45776</v>
      </c>
      <c r="C381" s="31" t="s">
        <v>5</v>
      </c>
      <c r="D381" s="106" t="s">
        <v>48</v>
      </c>
      <c r="E381" s="31" t="s">
        <v>6</v>
      </c>
      <c r="F381" s="31" t="s">
        <v>7</v>
      </c>
      <c r="G381" s="31">
        <f>95*2.7</f>
        <v>256.5</v>
      </c>
      <c r="H381" s="31">
        <f>10+2</f>
        <v>12</v>
      </c>
      <c r="I381" s="31">
        <v>2</v>
      </c>
      <c r="J381" s="148"/>
      <c r="K381" s="149"/>
      <c r="L381" s="150"/>
      <c r="M381" s="69"/>
    </row>
    <row r="382" spans="1:13" ht="13.5" customHeight="1" x14ac:dyDescent="0.25">
      <c r="A382" s="42">
        <v>303</v>
      </c>
      <c r="B382" s="48">
        <v>45776</v>
      </c>
      <c r="C382" s="31" t="s">
        <v>5</v>
      </c>
      <c r="D382" s="106" t="s">
        <v>49</v>
      </c>
      <c r="E382" s="31" t="s">
        <v>6</v>
      </c>
      <c r="F382" s="31" t="s">
        <v>7</v>
      </c>
      <c r="G382" s="31">
        <f>(19*1.8)+(22*2)</f>
        <v>78.2</v>
      </c>
      <c r="H382" s="31">
        <f>3+1</f>
        <v>4</v>
      </c>
      <c r="I382" s="31">
        <v>1</v>
      </c>
      <c r="J382" s="148"/>
      <c r="K382" s="149"/>
      <c r="L382" s="150"/>
      <c r="M382" s="69"/>
    </row>
    <row r="383" spans="1:13" ht="13.5" customHeight="1" x14ac:dyDescent="0.25">
      <c r="A383" s="42">
        <v>304</v>
      </c>
      <c r="B383" s="48">
        <v>45776</v>
      </c>
      <c r="C383" s="31" t="s">
        <v>5</v>
      </c>
      <c r="D383" s="106" t="s">
        <v>50</v>
      </c>
      <c r="E383" s="31" t="s">
        <v>6</v>
      </c>
      <c r="F383" s="31" t="s">
        <v>7</v>
      </c>
      <c r="G383" s="43">
        <f>(27*2)+(17*2)</f>
        <v>88</v>
      </c>
      <c r="H383" s="31">
        <f>2+1+1+1</f>
        <v>5</v>
      </c>
      <c r="I383" s="31">
        <f>1+1</f>
        <v>2</v>
      </c>
      <c r="J383" s="148"/>
      <c r="K383" s="149"/>
      <c r="L383" s="150"/>
      <c r="M383" s="69"/>
    </row>
    <row r="384" spans="1:13" ht="13.5" customHeight="1" x14ac:dyDescent="0.25">
      <c r="A384" s="42">
        <v>305</v>
      </c>
      <c r="B384" s="48">
        <v>45776</v>
      </c>
      <c r="C384" s="49" t="s">
        <v>5</v>
      </c>
      <c r="D384" s="106" t="s">
        <v>51</v>
      </c>
      <c r="E384" s="49" t="s">
        <v>6</v>
      </c>
      <c r="F384" s="49" t="s">
        <v>7</v>
      </c>
      <c r="G384" s="55">
        <f>21*2</f>
        <v>42</v>
      </c>
      <c r="H384" s="49">
        <v>2</v>
      </c>
      <c r="I384" s="49">
        <v>0</v>
      </c>
      <c r="J384" s="148"/>
      <c r="K384" s="149"/>
      <c r="L384" s="150"/>
      <c r="M384" s="75"/>
    </row>
    <row r="385" spans="1:13" ht="13.5" customHeight="1" x14ac:dyDescent="0.25">
      <c r="A385" s="42">
        <v>306</v>
      </c>
      <c r="B385" s="48">
        <v>45776</v>
      </c>
      <c r="C385" s="49" t="s">
        <v>5</v>
      </c>
      <c r="D385" s="106" t="s">
        <v>52</v>
      </c>
      <c r="E385" s="49" t="s">
        <v>6</v>
      </c>
      <c r="F385" s="49" t="s">
        <v>7</v>
      </c>
      <c r="G385" s="55">
        <f>22.5*2</f>
        <v>45</v>
      </c>
      <c r="H385" s="49">
        <f>2+1</f>
        <v>3</v>
      </c>
      <c r="I385" s="49">
        <v>1</v>
      </c>
      <c r="J385" s="148"/>
      <c r="K385" s="149"/>
      <c r="L385" s="150"/>
      <c r="M385" s="75"/>
    </row>
    <row r="386" spans="1:13" ht="13.5" customHeight="1" x14ac:dyDescent="0.25">
      <c r="A386" s="42">
        <v>307</v>
      </c>
      <c r="B386" s="48">
        <v>45776</v>
      </c>
      <c r="C386" s="49" t="s">
        <v>5</v>
      </c>
      <c r="D386" s="106" t="s">
        <v>53</v>
      </c>
      <c r="E386" s="49" t="s">
        <v>6</v>
      </c>
      <c r="F386" s="49" t="s">
        <v>7</v>
      </c>
      <c r="G386" s="55">
        <f>(24*2.3)+(13*2.1)</f>
        <v>82.5</v>
      </c>
      <c r="H386" s="49">
        <v>4</v>
      </c>
      <c r="I386" s="49">
        <v>0</v>
      </c>
      <c r="J386" s="148"/>
      <c r="K386" s="149"/>
      <c r="L386" s="150"/>
      <c r="M386" s="75"/>
    </row>
    <row r="387" spans="1:13" ht="13.5" customHeight="1" x14ac:dyDescent="0.25">
      <c r="A387" s="42">
        <v>308</v>
      </c>
      <c r="B387" s="48">
        <v>45776</v>
      </c>
      <c r="C387" s="49" t="s">
        <v>5</v>
      </c>
      <c r="D387" s="106" t="s">
        <v>54</v>
      </c>
      <c r="E387" s="49" t="s">
        <v>6</v>
      </c>
      <c r="F387" s="49" t="s">
        <v>7</v>
      </c>
      <c r="G387" s="49">
        <f>29*2.5</f>
        <v>72.5</v>
      </c>
      <c r="H387" s="49">
        <f>3+1</f>
        <v>4</v>
      </c>
      <c r="I387" s="49">
        <v>1</v>
      </c>
      <c r="J387" s="148"/>
      <c r="K387" s="149"/>
      <c r="L387" s="150"/>
      <c r="M387" s="75"/>
    </row>
    <row r="388" spans="1:13" ht="13.5" customHeight="1" x14ac:dyDescent="0.25">
      <c r="A388" s="42">
        <v>309</v>
      </c>
      <c r="B388" s="48">
        <v>45776</v>
      </c>
      <c r="C388" s="49" t="s">
        <v>5</v>
      </c>
      <c r="D388" s="106" t="s">
        <v>55</v>
      </c>
      <c r="E388" s="49" t="s">
        <v>6</v>
      </c>
      <c r="F388" s="49" t="s">
        <v>7</v>
      </c>
      <c r="G388" s="55">
        <f>20*2</f>
        <v>40</v>
      </c>
      <c r="H388" s="49">
        <f>2+1</f>
        <v>3</v>
      </c>
      <c r="I388" s="49">
        <v>1</v>
      </c>
      <c r="J388" s="148"/>
      <c r="K388" s="149"/>
      <c r="L388" s="150"/>
      <c r="M388" s="75"/>
    </row>
    <row r="389" spans="1:13" ht="13.5" customHeight="1" x14ac:dyDescent="0.25">
      <c r="A389" s="42">
        <v>310</v>
      </c>
      <c r="B389" s="48">
        <v>45776</v>
      </c>
      <c r="C389" s="31" t="s">
        <v>5</v>
      </c>
      <c r="D389" s="106" t="s">
        <v>56</v>
      </c>
      <c r="E389" s="31" t="s">
        <v>6</v>
      </c>
      <c r="F389" s="31" t="s">
        <v>7</v>
      </c>
      <c r="G389" s="43">
        <f>18*5</f>
        <v>90</v>
      </c>
      <c r="H389" s="31">
        <f>3+1</f>
        <v>4</v>
      </c>
      <c r="I389" s="31">
        <v>1</v>
      </c>
      <c r="J389" s="148"/>
      <c r="K389" s="149"/>
      <c r="L389" s="150"/>
      <c r="M389" s="69"/>
    </row>
    <row r="390" spans="1:13" ht="13.5" customHeight="1" thickBot="1" x14ac:dyDescent="0.3">
      <c r="A390" s="42">
        <v>311</v>
      </c>
      <c r="B390" s="48">
        <v>45776</v>
      </c>
      <c r="C390" s="31" t="s">
        <v>5</v>
      </c>
      <c r="D390" s="106" t="s">
        <v>57</v>
      </c>
      <c r="E390" s="31" t="s">
        <v>6</v>
      </c>
      <c r="F390" s="31" t="s">
        <v>7</v>
      </c>
      <c r="G390" s="43">
        <f>36*6</f>
        <v>216</v>
      </c>
      <c r="H390" s="31">
        <f>10+1</f>
        <v>11</v>
      </c>
      <c r="I390" s="31">
        <v>1</v>
      </c>
      <c r="J390" s="148"/>
      <c r="K390" s="149"/>
      <c r="L390" s="150"/>
      <c r="M390" s="93"/>
    </row>
    <row r="391" spans="1:13" ht="13.5" customHeight="1" thickBot="1" x14ac:dyDescent="0.3">
      <c r="A391" s="151" t="s">
        <v>317</v>
      </c>
      <c r="B391" s="152"/>
      <c r="C391" s="152"/>
      <c r="D391" s="152"/>
      <c r="E391" s="152"/>
      <c r="F391" s="36"/>
      <c r="G391" s="36"/>
      <c r="H391" s="36"/>
      <c r="I391" s="36"/>
      <c r="J391" s="36"/>
      <c r="K391" s="36"/>
      <c r="L391" s="36"/>
      <c r="M391" s="37"/>
    </row>
    <row r="392" spans="1:13" ht="13.5" customHeight="1" x14ac:dyDescent="0.25">
      <c r="A392" s="18">
        <v>312</v>
      </c>
      <c r="B392" s="19">
        <v>45777</v>
      </c>
      <c r="C392" s="20" t="s">
        <v>5</v>
      </c>
      <c r="D392" s="46" t="s">
        <v>469</v>
      </c>
      <c r="E392" s="20" t="s">
        <v>6</v>
      </c>
      <c r="F392" s="20" t="s">
        <v>7</v>
      </c>
      <c r="G392" s="44">
        <f>(20*3.8)</f>
        <v>76</v>
      </c>
      <c r="H392" s="20">
        <f>2+1</f>
        <v>3</v>
      </c>
      <c r="I392" s="20">
        <v>1</v>
      </c>
      <c r="J392" s="148" t="s">
        <v>443</v>
      </c>
      <c r="K392" s="149"/>
      <c r="L392" s="150"/>
      <c r="M392" s="68"/>
    </row>
    <row r="393" spans="1:13" ht="13.5" customHeight="1" x14ac:dyDescent="0.25">
      <c r="A393" s="42">
        <v>313</v>
      </c>
      <c r="B393" s="48">
        <v>45777</v>
      </c>
      <c r="C393" s="31" t="s">
        <v>5</v>
      </c>
      <c r="D393" s="107" t="s">
        <v>318</v>
      </c>
      <c r="E393" s="31" t="s">
        <v>6</v>
      </c>
      <c r="F393" s="31" t="s">
        <v>7</v>
      </c>
      <c r="G393" s="31">
        <f>(4*5*3.7)+(1*5*3.7)</f>
        <v>92.5</v>
      </c>
      <c r="H393" s="31">
        <f>4+1</f>
        <v>5</v>
      </c>
      <c r="I393" s="31">
        <v>1</v>
      </c>
      <c r="J393" s="148"/>
      <c r="K393" s="149"/>
      <c r="L393" s="150"/>
      <c r="M393" s="69"/>
    </row>
    <row r="394" spans="1:13" ht="13.5" customHeight="1" x14ac:dyDescent="0.25">
      <c r="A394" s="42">
        <v>314</v>
      </c>
      <c r="B394" s="48">
        <v>45777</v>
      </c>
      <c r="C394" s="31" t="s">
        <v>5</v>
      </c>
      <c r="D394" s="107" t="s">
        <v>319</v>
      </c>
      <c r="E394" s="31" t="s">
        <v>6</v>
      </c>
      <c r="F394" s="31" t="s">
        <v>7</v>
      </c>
      <c r="G394" s="31">
        <f>(18*3.8)</f>
        <v>68.399999999999991</v>
      </c>
      <c r="H394" s="31">
        <f>3+1</f>
        <v>4</v>
      </c>
      <c r="I394" s="31">
        <v>1</v>
      </c>
      <c r="J394" s="148"/>
      <c r="K394" s="149"/>
      <c r="L394" s="150"/>
      <c r="M394" s="69"/>
    </row>
    <row r="395" spans="1:13" ht="13.5" customHeight="1" x14ac:dyDescent="0.25">
      <c r="A395" s="42">
        <v>315</v>
      </c>
      <c r="B395" s="48">
        <v>45777</v>
      </c>
      <c r="C395" s="31" t="s">
        <v>5</v>
      </c>
      <c r="D395" s="107" t="s">
        <v>320</v>
      </c>
      <c r="E395" s="31" t="s">
        <v>6</v>
      </c>
      <c r="F395" s="31" t="s">
        <v>7</v>
      </c>
      <c r="G395" s="31">
        <f>(42.5*2.9)</f>
        <v>123.25</v>
      </c>
      <c r="H395" s="31">
        <f>5+1</f>
        <v>6</v>
      </c>
      <c r="I395" s="31">
        <v>1</v>
      </c>
      <c r="J395" s="148"/>
      <c r="K395" s="149"/>
      <c r="L395" s="150"/>
      <c r="M395" s="69"/>
    </row>
    <row r="396" spans="1:13" ht="13.5" customHeight="1" x14ac:dyDescent="0.25">
      <c r="A396" s="42">
        <v>316</v>
      </c>
      <c r="B396" s="48">
        <v>45777</v>
      </c>
      <c r="C396" s="31" t="s">
        <v>5</v>
      </c>
      <c r="D396" s="107" t="s">
        <v>8</v>
      </c>
      <c r="E396" s="31" t="s">
        <v>6</v>
      </c>
      <c r="F396" s="31" t="s">
        <v>7</v>
      </c>
      <c r="G396" s="43">
        <f>(17.5*6)</f>
        <v>105</v>
      </c>
      <c r="H396" s="31">
        <f>5+1</f>
        <v>6</v>
      </c>
      <c r="I396" s="31">
        <v>1</v>
      </c>
      <c r="J396" s="148"/>
      <c r="K396" s="149"/>
      <c r="L396" s="150"/>
      <c r="M396" s="69"/>
    </row>
    <row r="397" spans="1:13" ht="13.5" customHeight="1" x14ac:dyDescent="0.25">
      <c r="A397" s="42">
        <v>317</v>
      </c>
      <c r="B397" s="48">
        <v>45777</v>
      </c>
      <c r="C397" s="31" t="s">
        <v>5</v>
      </c>
      <c r="D397" s="107" t="s">
        <v>321</v>
      </c>
      <c r="E397" s="31" t="s">
        <v>6</v>
      </c>
      <c r="F397" s="31" t="s">
        <v>7</v>
      </c>
      <c r="G397" s="31">
        <f>(33.5*2.8)</f>
        <v>93.8</v>
      </c>
      <c r="H397" s="31">
        <f>3+1</f>
        <v>4</v>
      </c>
      <c r="I397" s="31">
        <v>1</v>
      </c>
      <c r="J397" s="148"/>
      <c r="K397" s="149"/>
      <c r="L397" s="150"/>
      <c r="M397" s="69"/>
    </row>
    <row r="398" spans="1:13" ht="13.5" customHeight="1" thickBot="1" x14ac:dyDescent="0.3">
      <c r="A398" s="85">
        <v>318</v>
      </c>
      <c r="B398" s="48">
        <v>45777</v>
      </c>
      <c r="C398" s="49" t="s">
        <v>5</v>
      </c>
      <c r="D398" s="107" t="s">
        <v>322</v>
      </c>
      <c r="E398" s="49" t="s">
        <v>6</v>
      </c>
      <c r="F398" s="49" t="s">
        <v>7</v>
      </c>
      <c r="G398" s="55">
        <f>20*7</f>
        <v>140</v>
      </c>
      <c r="H398" s="49">
        <f>5+1</f>
        <v>6</v>
      </c>
      <c r="I398" s="49">
        <v>1</v>
      </c>
      <c r="J398" s="148"/>
      <c r="K398" s="149"/>
      <c r="L398" s="150"/>
      <c r="M398" s="75"/>
    </row>
    <row r="399" spans="1:13" ht="13.5" customHeight="1" thickBot="1" x14ac:dyDescent="0.3">
      <c r="A399" s="151" t="s">
        <v>323</v>
      </c>
      <c r="B399" s="152"/>
      <c r="C399" s="152"/>
      <c r="D399" s="152"/>
      <c r="E399" s="152"/>
      <c r="F399" s="152"/>
      <c r="G399" s="12"/>
      <c r="H399" s="12"/>
      <c r="I399" s="12"/>
      <c r="J399" s="12"/>
      <c r="K399" s="12"/>
      <c r="L399" s="12"/>
      <c r="M399" s="13"/>
    </row>
    <row r="400" spans="1:13" ht="21.75" customHeight="1" thickBot="1" x14ac:dyDescent="0.3">
      <c r="A400" s="61">
        <v>319</v>
      </c>
      <c r="B400" s="79">
        <v>45777</v>
      </c>
      <c r="C400" s="38" t="s">
        <v>5</v>
      </c>
      <c r="D400" s="92" t="s">
        <v>324</v>
      </c>
      <c r="E400" s="38" t="s">
        <v>6</v>
      </c>
      <c r="F400" s="38" t="s">
        <v>7</v>
      </c>
      <c r="G400" s="38">
        <f>(27*13)</f>
        <v>351</v>
      </c>
      <c r="H400" s="38">
        <f>8+1</f>
        <v>9</v>
      </c>
      <c r="I400" s="38">
        <v>1</v>
      </c>
      <c r="J400" s="162" t="s">
        <v>443</v>
      </c>
      <c r="K400" s="163"/>
      <c r="L400" s="164"/>
      <c r="M400" s="80"/>
    </row>
    <row r="401" spans="1:13" ht="13.5" customHeight="1" thickBot="1" x14ac:dyDescent="0.3">
      <c r="A401" s="151" t="s">
        <v>325</v>
      </c>
      <c r="B401" s="152"/>
      <c r="C401" s="152"/>
      <c r="D401" s="152"/>
      <c r="E401" s="152"/>
      <c r="F401" s="36"/>
      <c r="G401" s="36"/>
      <c r="H401" s="36"/>
      <c r="I401" s="36"/>
      <c r="J401" s="36"/>
      <c r="K401" s="36"/>
      <c r="L401" s="36"/>
      <c r="M401" s="37"/>
    </row>
    <row r="402" spans="1:13" ht="13.5" customHeight="1" x14ac:dyDescent="0.25">
      <c r="A402" s="18">
        <v>320</v>
      </c>
      <c r="B402" s="19">
        <v>45782</v>
      </c>
      <c r="C402" s="20" t="s">
        <v>5</v>
      </c>
      <c r="D402" s="46" t="s">
        <v>326</v>
      </c>
      <c r="E402" s="20" t="s">
        <v>6</v>
      </c>
      <c r="F402" s="20" t="s">
        <v>7</v>
      </c>
      <c r="G402" s="44">
        <f>(24*5)</f>
        <v>120</v>
      </c>
      <c r="H402" s="20">
        <f>7+1</f>
        <v>8</v>
      </c>
      <c r="I402" s="20">
        <v>1</v>
      </c>
      <c r="J402" s="148" t="s">
        <v>443</v>
      </c>
      <c r="K402" s="149"/>
      <c r="L402" s="150"/>
      <c r="M402" s="68"/>
    </row>
    <row r="403" spans="1:13" ht="13.5" customHeight="1" x14ac:dyDescent="0.25">
      <c r="A403" s="42">
        <v>321</v>
      </c>
      <c r="B403" s="48">
        <v>45782</v>
      </c>
      <c r="C403" s="31" t="s">
        <v>5</v>
      </c>
      <c r="D403" s="107" t="s">
        <v>327</v>
      </c>
      <c r="E403" s="31" t="s">
        <v>6</v>
      </c>
      <c r="F403" s="31" t="s">
        <v>7</v>
      </c>
      <c r="G403" s="51">
        <f>(23.333*3)</f>
        <v>69.998999999999995</v>
      </c>
      <c r="H403" s="31">
        <f>2+1</f>
        <v>3</v>
      </c>
      <c r="I403" s="31">
        <v>1</v>
      </c>
      <c r="J403" s="148"/>
      <c r="K403" s="149"/>
      <c r="L403" s="150"/>
      <c r="M403" s="69"/>
    </row>
    <row r="404" spans="1:13" ht="13.5" customHeight="1" x14ac:dyDescent="0.25">
      <c r="A404" s="42">
        <v>322</v>
      </c>
      <c r="B404" s="48">
        <v>45782</v>
      </c>
      <c r="C404" s="31" t="s">
        <v>5</v>
      </c>
      <c r="D404" s="107" t="s">
        <v>328</v>
      </c>
      <c r="E404" s="31" t="s">
        <v>6</v>
      </c>
      <c r="F404" s="31" t="s">
        <v>7</v>
      </c>
      <c r="G404" s="31">
        <f>(18.3*7.5)</f>
        <v>137.25</v>
      </c>
      <c r="H404" s="31">
        <f>4+1</f>
        <v>5</v>
      </c>
      <c r="I404" s="31">
        <v>1</v>
      </c>
      <c r="J404" s="148"/>
      <c r="K404" s="149"/>
      <c r="L404" s="150"/>
      <c r="M404" s="69"/>
    </row>
    <row r="405" spans="1:13" ht="13.5" customHeight="1" x14ac:dyDescent="0.25">
      <c r="A405" s="42">
        <v>323</v>
      </c>
      <c r="B405" s="48">
        <v>45782</v>
      </c>
      <c r="C405" s="31" t="s">
        <v>5</v>
      </c>
      <c r="D405" s="107" t="s">
        <v>329</v>
      </c>
      <c r="E405" s="31" t="s">
        <v>6</v>
      </c>
      <c r="F405" s="31" t="s">
        <v>7</v>
      </c>
      <c r="G405" s="31">
        <f>(31.16*5)</f>
        <v>155.80000000000001</v>
      </c>
      <c r="H405" s="31">
        <f>8+1</f>
        <v>9</v>
      </c>
      <c r="I405" s="31">
        <v>1</v>
      </c>
      <c r="J405" s="148"/>
      <c r="K405" s="149"/>
      <c r="L405" s="150"/>
      <c r="M405" s="69"/>
    </row>
    <row r="406" spans="1:13" ht="13.5" customHeight="1" x14ac:dyDescent="0.25">
      <c r="A406" s="42">
        <v>324</v>
      </c>
      <c r="B406" s="48">
        <v>45782</v>
      </c>
      <c r="C406" s="31" t="s">
        <v>5</v>
      </c>
      <c r="D406" s="107" t="s">
        <v>330</v>
      </c>
      <c r="E406" s="31" t="s">
        <v>6</v>
      </c>
      <c r="F406" s="31" t="s">
        <v>7</v>
      </c>
      <c r="G406" s="31">
        <f>(63*6.8)</f>
        <v>428.4</v>
      </c>
      <c r="H406" s="31">
        <f>18+3</f>
        <v>21</v>
      </c>
      <c r="I406" s="31">
        <v>3</v>
      </c>
      <c r="J406" s="148"/>
      <c r="K406" s="149"/>
      <c r="L406" s="150"/>
      <c r="M406" s="69"/>
    </row>
    <row r="407" spans="1:13" ht="13.5" customHeight="1" x14ac:dyDescent="0.25">
      <c r="A407" s="42">
        <v>325</v>
      </c>
      <c r="B407" s="48">
        <v>45782</v>
      </c>
      <c r="C407" s="31" t="s">
        <v>5</v>
      </c>
      <c r="D407" s="107" t="s">
        <v>331</v>
      </c>
      <c r="E407" s="31" t="s">
        <v>6</v>
      </c>
      <c r="F407" s="31" t="s">
        <v>7</v>
      </c>
      <c r="G407" s="31">
        <f>(32.5*1.9)</f>
        <v>61.75</v>
      </c>
      <c r="H407" s="31">
        <f>3+1</f>
        <v>4</v>
      </c>
      <c r="I407" s="31">
        <v>1</v>
      </c>
      <c r="J407" s="148"/>
      <c r="K407" s="149"/>
      <c r="L407" s="150"/>
      <c r="M407" s="69"/>
    </row>
    <row r="408" spans="1:13" ht="13.5" customHeight="1" x14ac:dyDescent="0.25">
      <c r="A408" s="42">
        <v>326</v>
      </c>
      <c r="B408" s="48">
        <v>45782</v>
      </c>
      <c r="C408" s="49" t="s">
        <v>5</v>
      </c>
      <c r="D408" s="107" t="s">
        <v>332</v>
      </c>
      <c r="E408" s="49" t="s">
        <v>6</v>
      </c>
      <c r="F408" s="49" t="s">
        <v>7</v>
      </c>
      <c r="G408" s="49">
        <f>(23.7*5.2)</f>
        <v>123.24</v>
      </c>
      <c r="H408" s="49">
        <f>8+1</f>
        <v>9</v>
      </c>
      <c r="I408" s="49">
        <v>1</v>
      </c>
      <c r="J408" s="148"/>
      <c r="K408" s="149"/>
      <c r="L408" s="150"/>
      <c r="M408" s="75"/>
    </row>
    <row r="409" spans="1:13" ht="13.5" customHeight="1" x14ac:dyDescent="0.25">
      <c r="A409" s="42">
        <v>327</v>
      </c>
      <c r="B409" s="48">
        <v>45782</v>
      </c>
      <c r="C409" s="49" t="s">
        <v>5</v>
      </c>
      <c r="D409" s="107" t="s">
        <v>332</v>
      </c>
      <c r="E409" s="49" t="s">
        <v>6</v>
      </c>
      <c r="F409" s="49" t="s">
        <v>7</v>
      </c>
      <c r="G409" s="49">
        <f>((17+12)/2)*7.6</f>
        <v>110.19999999999999</v>
      </c>
      <c r="H409" s="49">
        <f>4+1</f>
        <v>5</v>
      </c>
      <c r="I409" s="49">
        <v>1</v>
      </c>
      <c r="J409" s="148"/>
      <c r="K409" s="149"/>
      <c r="L409" s="150"/>
      <c r="M409" s="75"/>
    </row>
    <row r="410" spans="1:13" ht="13.5" customHeight="1" x14ac:dyDescent="0.25">
      <c r="A410" s="42">
        <v>328</v>
      </c>
      <c r="B410" s="48">
        <v>46128</v>
      </c>
      <c r="C410" s="49" t="s">
        <v>5</v>
      </c>
      <c r="D410" s="107" t="s">
        <v>490</v>
      </c>
      <c r="E410" s="49" t="s">
        <v>6</v>
      </c>
      <c r="F410" s="49" t="s">
        <v>7</v>
      </c>
      <c r="G410" s="49">
        <v>65.44</v>
      </c>
      <c r="H410" s="49">
        <v>3</v>
      </c>
      <c r="I410" s="49">
        <v>1</v>
      </c>
      <c r="J410" s="148"/>
      <c r="K410" s="149"/>
      <c r="L410" s="150"/>
      <c r="M410" s="75"/>
    </row>
    <row r="411" spans="1:13" ht="13.5" customHeight="1" x14ac:dyDescent="0.25">
      <c r="A411" s="42">
        <v>329</v>
      </c>
      <c r="B411" s="48">
        <v>45782</v>
      </c>
      <c r="C411" s="49" t="s">
        <v>5</v>
      </c>
      <c r="D411" s="107" t="s">
        <v>334</v>
      </c>
      <c r="E411" s="49" t="s">
        <v>6</v>
      </c>
      <c r="F411" s="49" t="s">
        <v>7</v>
      </c>
      <c r="G411" s="49">
        <f>(45*3.6)+(11*6.3)</f>
        <v>231.3</v>
      </c>
      <c r="H411" s="49">
        <f>6+1</f>
        <v>7</v>
      </c>
      <c r="I411" s="49">
        <v>1</v>
      </c>
      <c r="J411" s="148"/>
      <c r="K411" s="149"/>
      <c r="L411" s="150"/>
      <c r="M411" s="75"/>
    </row>
    <row r="412" spans="1:13" ht="13.5" customHeight="1" x14ac:dyDescent="0.25">
      <c r="A412" s="42">
        <v>330</v>
      </c>
      <c r="B412" s="48">
        <v>45782</v>
      </c>
      <c r="C412" s="49" t="s">
        <v>5</v>
      </c>
      <c r="D412" s="107" t="s">
        <v>335</v>
      </c>
      <c r="E412" s="49" t="s">
        <v>6</v>
      </c>
      <c r="F412" s="49" t="s">
        <v>7</v>
      </c>
      <c r="G412" s="55">
        <f>(74*7.5)</f>
        <v>555</v>
      </c>
      <c r="H412" s="49">
        <f>21+3</f>
        <v>24</v>
      </c>
      <c r="I412" s="49">
        <v>3</v>
      </c>
      <c r="J412" s="148"/>
      <c r="K412" s="149"/>
      <c r="L412" s="150"/>
      <c r="M412" s="75"/>
    </row>
    <row r="413" spans="1:13" ht="13.5" customHeight="1" x14ac:dyDescent="0.25">
      <c r="A413" s="42">
        <v>331</v>
      </c>
      <c r="B413" s="48">
        <v>45782</v>
      </c>
      <c r="C413" s="49" t="s">
        <v>5</v>
      </c>
      <c r="D413" s="107" t="s">
        <v>333</v>
      </c>
      <c r="E413" s="49" t="s">
        <v>6</v>
      </c>
      <c r="F413" s="49" t="s">
        <v>7</v>
      </c>
      <c r="G413" s="49">
        <f>14*5.3</f>
        <v>74.2</v>
      </c>
      <c r="H413" s="49">
        <f>2+1</f>
        <v>3</v>
      </c>
      <c r="I413" s="49">
        <v>1</v>
      </c>
      <c r="J413" s="148"/>
      <c r="K413" s="149"/>
      <c r="L413" s="150"/>
      <c r="M413" s="75"/>
    </row>
    <row r="414" spans="1:13" ht="13.5" customHeight="1" x14ac:dyDescent="0.25">
      <c r="A414" s="42">
        <v>332</v>
      </c>
      <c r="B414" s="48">
        <v>45782</v>
      </c>
      <c r="C414" s="49" t="s">
        <v>5</v>
      </c>
      <c r="D414" s="107" t="s">
        <v>336</v>
      </c>
      <c r="E414" s="49" t="s">
        <v>6</v>
      </c>
      <c r="F414" s="49" t="s">
        <v>7</v>
      </c>
      <c r="G414" s="49">
        <f>(9*2.52*(5+7.5))+(1*4*(6+6.5))</f>
        <v>333.5</v>
      </c>
      <c r="H414" s="49">
        <f>9+1</f>
        <v>10</v>
      </c>
      <c r="I414" s="49">
        <v>1</v>
      </c>
      <c r="J414" s="148"/>
      <c r="K414" s="149"/>
      <c r="L414" s="150"/>
      <c r="M414" s="75"/>
    </row>
    <row r="415" spans="1:13" ht="13.5" customHeight="1" x14ac:dyDescent="0.25">
      <c r="A415" s="42">
        <v>333</v>
      </c>
      <c r="B415" s="48">
        <v>45782</v>
      </c>
      <c r="C415" s="49" t="s">
        <v>5</v>
      </c>
      <c r="D415" s="107" t="s">
        <v>337</v>
      </c>
      <c r="E415" s="49" t="s">
        <v>6</v>
      </c>
      <c r="F415" s="49" t="s">
        <v>7</v>
      </c>
      <c r="G415" s="55">
        <f>(32.5*2.8)</f>
        <v>91</v>
      </c>
      <c r="H415" s="49">
        <f>3+1</f>
        <v>4</v>
      </c>
      <c r="I415" s="49">
        <v>1</v>
      </c>
      <c r="J415" s="148"/>
      <c r="K415" s="149"/>
      <c r="L415" s="150"/>
      <c r="M415" s="75"/>
    </row>
    <row r="416" spans="1:13" ht="13.5" customHeight="1" x14ac:dyDescent="0.25">
      <c r="A416" s="42">
        <v>334</v>
      </c>
      <c r="B416" s="48">
        <v>45782</v>
      </c>
      <c r="C416" s="49" t="s">
        <v>5</v>
      </c>
      <c r="D416" s="107" t="s">
        <v>489</v>
      </c>
      <c r="E416" s="49" t="s">
        <v>6</v>
      </c>
      <c r="F416" s="49" t="s">
        <v>7</v>
      </c>
      <c r="G416" s="49">
        <f xml:space="preserve"> (19*2.5*5)+(3*3.6*5)</f>
        <v>291.5</v>
      </c>
      <c r="H416" s="49">
        <f>19+3</f>
        <v>22</v>
      </c>
      <c r="I416" s="49">
        <v>3</v>
      </c>
      <c r="J416" s="148"/>
      <c r="K416" s="149"/>
      <c r="L416" s="150"/>
      <c r="M416" s="75"/>
    </row>
    <row r="417" spans="1:13" ht="13.5" customHeight="1" thickBot="1" x14ac:dyDescent="0.3">
      <c r="A417" s="42">
        <v>335</v>
      </c>
      <c r="B417" s="48">
        <v>45782</v>
      </c>
      <c r="C417" s="31" t="s">
        <v>5</v>
      </c>
      <c r="D417" s="107" t="s">
        <v>338</v>
      </c>
      <c r="E417" s="31" t="s">
        <v>6</v>
      </c>
      <c r="F417" s="31" t="s">
        <v>7</v>
      </c>
      <c r="G417" s="51">
        <f>(151*6.267)</f>
        <v>946.31700000000001</v>
      </c>
      <c r="H417" s="31">
        <f>9+1+8+1+8+1+6+1+11+1</f>
        <v>47</v>
      </c>
      <c r="I417" s="31">
        <v>5</v>
      </c>
      <c r="J417" s="148"/>
      <c r="K417" s="149"/>
      <c r="L417" s="150"/>
      <c r="M417" s="69"/>
    </row>
    <row r="418" spans="1:13" ht="13.5" customHeight="1" thickBot="1" x14ac:dyDescent="0.3">
      <c r="A418" s="151" t="s">
        <v>339</v>
      </c>
      <c r="B418" s="152"/>
      <c r="C418" s="152"/>
      <c r="D418" s="152"/>
      <c r="E418" s="152"/>
      <c r="F418" s="36"/>
      <c r="G418" s="36"/>
      <c r="H418" s="36"/>
      <c r="I418" s="36"/>
      <c r="J418" s="36"/>
      <c r="K418" s="36"/>
      <c r="L418" s="36"/>
      <c r="M418" s="37"/>
    </row>
    <row r="419" spans="1:13" ht="13.5" customHeight="1" x14ac:dyDescent="0.25">
      <c r="A419" s="18">
        <v>336</v>
      </c>
      <c r="B419" s="19">
        <v>45783</v>
      </c>
      <c r="C419" s="20" t="s">
        <v>5</v>
      </c>
      <c r="D419" s="46" t="s">
        <v>340</v>
      </c>
      <c r="E419" s="20" t="s">
        <v>6</v>
      </c>
      <c r="F419" s="20" t="s">
        <v>7</v>
      </c>
      <c r="G419" s="44">
        <f>(7*3*4.4)+(1*4*4.4)</f>
        <v>110</v>
      </c>
      <c r="H419" s="20">
        <f>7+1</f>
        <v>8</v>
      </c>
      <c r="I419" s="20">
        <v>1</v>
      </c>
      <c r="J419" s="148" t="s">
        <v>443</v>
      </c>
      <c r="K419" s="149"/>
      <c r="L419" s="150"/>
      <c r="M419" s="68"/>
    </row>
    <row r="420" spans="1:13" ht="13.5" customHeight="1" x14ac:dyDescent="0.25">
      <c r="A420" s="42">
        <v>337</v>
      </c>
      <c r="B420" s="48">
        <v>45783</v>
      </c>
      <c r="C420" s="31" t="s">
        <v>5</v>
      </c>
      <c r="D420" s="107" t="s">
        <v>341</v>
      </c>
      <c r="E420" s="31" t="s">
        <v>6</v>
      </c>
      <c r="F420" s="31" t="s">
        <v>7</v>
      </c>
      <c r="G420" s="31">
        <f>20.5*3</f>
        <v>61.5</v>
      </c>
      <c r="H420" s="31">
        <f>1+1</f>
        <v>2</v>
      </c>
      <c r="I420" s="31">
        <v>1</v>
      </c>
      <c r="J420" s="148"/>
      <c r="K420" s="149"/>
      <c r="L420" s="150"/>
      <c r="M420" s="69"/>
    </row>
    <row r="421" spans="1:13" ht="13.5" customHeight="1" x14ac:dyDescent="0.25">
      <c r="A421" s="18">
        <v>338</v>
      </c>
      <c r="B421" s="48">
        <v>45783</v>
      </c>
      <c r="C421" s="31" t="s">
        <v>5</v>
      </c>
      <c r="D421" s="107" t="s">
        <v>342</v>
      </c>
      <c r="E421" s="31" t="s">
        <v>6</v>
      </c>
      <c r="F421" s="31" t="s">
        <v>7</v>
      </c>
      <c r="G421" s="43">
        <f>(27*6)</f>
        <v>162</v>
      </c>
      <c r="H421" s="31">
        <f>8+1</f>
        <v>9</v>
      </c>
      <c r="I421" s="31">
        <v>1</v>
      </c>
      <c r="J421" s="148"/>
      <c r="K421" s="149"/>
      <c r="L421" s="150"/>
      <c r="M421" s="69"/>
    </row>
    <row r="422" spans="1:13" ht="13.5" customHeight="1" x14ac:dyDescent="0.25">
      <c r="A422" s="42">
        <v>339</v>
      </c>
      <c r="B422" s="48">
        <v>45783</v>
      </c>
      <c r="C422" s="31" t="s">
        <v>5</v>
      </c>
      <c r="D422" s="107" t="s">
        <v>343</v>
      </c>
      <c r="E422" s="31" t="s">
        <v>6</v>
      </c>
      <c r="F422" s="31" t="s">
        <v>7</v>
      </c>
      <c r="G422" s="51">
        <f>(16.5*6.25)</f>
        <v>103.125</v>
      </c>
      <c r="H422" s="31">
        <f>3+1</f>
        <v>4</v>
      </c>
      <c r="I422" s="31">
        <v>1</v>
      </c>
      <c r="J422" s="148"/>
      <c r="K422" s="149"/>
      <c r="L422" s="150"/>
      <c r="M422" s="69"/>
    </row>
    <row r="423" spans="1:13" ht="13.5" customHeight="1" x14ac:dyDescent="0.25">
      <c r="A423" s="18">
        <v>340</v>
      </c>
      <c r="B423" s="48">
        <v>45783</v>
      </c>
      <c r="C423" s="31" t="s">
        <v>5</v>
      </c>
      <c r="D423" s="107" t="s">
        <v>344</v>
      </c>
      <c r="E423" s="31" t="s">
        <v>6</v>
      </c>
      <c r="F423" s="31" t="s">
        <v>7</v>
      </c>
      <c r="G423" s="31">
        <f>52.9*8</f>
        <v>423.2</v>
      </c>
      <c r="H423" s="31">
        <f>16+2</f>
        <v>18</v>
      </c>
      <c r="I423" s="31">
        <v>2</v>
      </c>
      <c r="J423" s="148"/>
      <c r="K423" s="149"/>
      <c r="L423" s="150"/>
      <c r="M423" s="69"/>
    </row>
    <row r="424" spans="1:13" ht="13.5" customHeight="1" x14ac:dyDescent="0.25">
      <c r="A424" s="42">
        <v>341</v>
      </c>
      <c r="B424" s="48">
        <v>45783</v>
      </c>
      <c r="C424" s="31" t="s">
        <v>5</v>
      </c>
      <c r="D424" s="107" t="s">
        <v>345</v>
      </c>
      <c r="E424" s="31" t="s">
        <v>6</v>
      </c>
      <c r="F424" s="31" t="s">
        <v>7</v>
      </c>
      <c r="G424" s="31">
        <f>(18.5*5)</f>
        <v>92.5</v>
      </c>
      <c r="H424" s="31">
        <f>3+1</f>
        <v>4</v>
      </c>
      <c r="I424" s="31">
        <v>1</v>
      </c>
      <c r="J424" s="148"/>
      <c r="K424" s="149"/>
      <c r="L424" s="150"/>
      <c r="M424" s="69"/>
    </row>
    <row r="425" spans="1:13" ht="13.5" customHeight="1" x14ac:dyDescent="0.25">
      <c r="A425" s="18">
        <v>342</v>
      </c>
      <c r="B425" s="48">
        <v>45783</v>
      </c>
      <c r="C425" s="49" t="s">
        <v>5</v>
      </c>
      <c r="D425" s="107" t="s">
        <v>346</v>
      </c>
      <c r="E425" s="49" t="s">
        <v>6</v>
      </c>
      <c r="F425" s="49" t="s">
        <v>7</v>
      </c>
      <c r="G425" s="49">
        <f>(26.1*3.6)</f>
        <v>93.960000000000008</v>
      </c>
      <c r="H425" s="49">
        <f>8+1</f>
        <v>9</v>
      </c>
      <c r="I425" s="49">
        <v>1</v>
      </c>
      <c r="J425" s="148"/>
      <c r="K425" s="149"/>
      <c r="L425" s="150"/>
      <c r="M425" s="75"/>
    </row>
    <row r="426" spans="1:13" ht="13.5" customHeight="1" thickBot="1" x14ac:dyDescent="0.3">
      <c r="A426" s="42">
        <v>343</v>
      </c>
      <c r="B426" s="48">
        <v>45783</v>
      </c>
      <c r="C426" s="49" t="s">
        <v>5</v>
      </c>
      <c r="D426" s="107" t="s">
        <v>347</v>
      </c>
      <c r="E426" s="49" t="s">
        <v>6</v>
      </c>
      <c r="F426" s="49" t="s">
        <v>7</v>
      </c>
      <c r="G426" s="55">
        <f>(17.6+30.4)*4</f>
        <v>192</v>
      </c>
      <c r="H426" s="49">
        <f>12+2</f>
        <v>14</v>
      </c>
      <c r="I426" s="49">
        <v>2</v>
      </c>
      <c r="J426" s="148"/>
      <c r="K426" s="149"/>
      <c r="L426" s="150"/>
      <c r="M426" s="75"/>
    </row>
    <row r="427" spans="1:13" ht="13.5" customHeight="1" thickBot="1" x14ac:dyDescent="0.3">
      <c r="A427" s="151" t="s">
        <v>436</v>
      </c>
      <c r="B427" s="152"/>
      <c r="C427" s="152"/>
      <c r="D427" s="152"/>
      <c r="E427" s="152"/>
      <c r="F427" s="152"/>
      <c r="G427" s="12"/>
      <c r="H427" s="12"/>
      <c r="I427" s="12"/>
      <c r="J427" s="12"/>
      <c r="K427" s="12"/>
      <c r="L427" s="12"/>
      <c r="M427" s="13"/>
    </row>
    <row r="428" spans="1:13" ht="13.5" customHeight="1" x14ac:dyDescent="0.25">
      <c r="A428" s="14">
        <v>344</v>
      </c>
      <c r="B428" s="15">
        <v>45784</v>
      </c>
      <c r="C428" s="16" t="s">
        <v>5</v>
      </c>
      <c r="D428" s="92" t="s">
        <v>69</v>
      </c>
      <c r="E428" s="38" t="s">
        <v>6</v>
      </c>
      <c r="F428" s="38" t="s">
        <v>7</v>
      </c>
      <c r="G428" s="38">
        <f>(29*5.8)</f>
        <v>168.2</v>
      </c>
      <c r="H428" s="16">
        <f>7+1</f>
        <v>8</v>
      </c>
      <c r="I428" s="16">
        <v>1</v>
      </c>
      <c r="J428" s="145" t="s">
        <v>443</v>
      </c>
      <c r="K428" s="146"/>
      <c r="L428" s="147"/>
      <c r="M428" s="17"/>
    </row>
    <row r="429" spans="1:13" ht="13.5" customHeight="1" x14ac:dyDescent="0.25">
      <c r="A429" s="18">
        <v>345</v>
      </c>
      <c r="B429" s="19">
        <v>45784</v>
      </c>
      <c r="C429" s="20" t="s">
        <v>5</v>
      </c>
      <c r="D429" s="103" t="s">
        <v>70</v>
      </c>
      <c r="E429" s="24" t="s">
        <v>6</v>
      </c>
      <c r="F429" s="24" t="s">
        <v>7</v>
      </c>
      <c r="G429" s="55">
        <f>(42.3*4)</f>
        <v>169.2</v>
      </c>
      <c r="H429" s="20">
        <f>15+1</f>
        <v>16</v>
      </c>
      <c r="I429" s="20">
        <v>1</v>
      </c>
      <c r="J429" s="148"/>
      <c r="K429" s="149"/>
      <c r="L429" s="150"/>
      <c r="M429" s="21"/>
    </row>
    <row r="430" spans="1:13" ht="13.5" customHeight="1" thickBot="1" x14ac:dyDescent="0.3">
      <c r="A430" s="32">
        <v>346</v>
      </c>
      <c r="B430" s="33">
        <v>45784</v>
      </c>
      <c r="C430" s="34" t="s">
        <v>5</v>
      </c>
      <c r="D430" s="104" t="s">
        <v>71</v>
      </c>
      <c r="E430" s="28" t="s">
        <v>6</v>
      </c>
      <c r="F430" s="28" t="s">
        <v>7</v>
      </c>
      <c r="G430" s="94">
        <f>(40*4.8)</f>
        <v>192</v>
      </c>
      <c r="H430" s="34">
        <f>4+1</f>
        <v>5</v>
      </c>
      <c r="I430" s="34">
        <v>1</v>
      </c>
      <c r="J430" s="153"/>
      <c r="K430" s="154"/>
      <c r="L430" s="155"/>
      <c r="M430" s="35"/>
    </row>
    <row r="431" spans="1:13" ht="13.5" customHeight="1" thickBot="1" x14ac:dyDescent="0.3">
      <c r="A431" s="151" t="s">
        <v>348</v>
      </c>
      <c r="B431" s="152"/>
      <c r="C431" s="152"/>
      <c r="D431" s="152"/>
      <c r="E431" s="152"/>
      <c r="F431" s="152"/>
      <c r="G431" s="12"/>
      <c r="H431" s="12"/>
      <c r="I431" s="12"/>
      <c r="J431" s="12"/>
      <c r="K431" s="12"/>
      <c r="L431" s="12"/>
      <c r="M431" s="13"/>
    </row>
    <row r="432" spans="1:13" ht="13.5" customHeight="1" x14ac:dyDescent="0.25">
      <c r="A432" s="115">
        <v>347</v>
      </c>
      <c r="B432" s="116">
        <v>45784</v>
      </c>
      <c r="C432" s="117" t="s">
        <v>5</v>
      </c>
      <c r="D432" s="118" t="s">
        <v>349</v>
      </c>
      <c r="E432" s="117" t="s">
        <v>6</v>
      </c>
      <c r="F432" s="117" t="s">
        <v>7</v>
      </c>
      <c r="G432" s="117">
        <f>(9*2.7*5)+(2*4*6)</f>
        <v>169.5</v>
      </c>
      <c r="H432" s="117">
        <v>9</v>
      </c>
      <c r="I432" s="117">
        <v>2</v>
      </c>
      <c r="J432" s="156" t="s">
        <v>443</v>
      </c>
      <c r="K432" s="157"/>
      <c r="L432" s="158"/>
      <c r="M432" s="119"/>
    </row>
    <row r="433" spans="1:13" ht="13.5" customHeight="1" thickBot="1" x14ac:dyDescent="0.3">
      <c r="A433" s="120">
        <v>348</v>
      </c>
      <c r="B433" s="121">
        <v>45784</v>
      </c>
      <c r="C433" s="122" t="s">
        <v>5</v>
      </c>
      <c r="D433" s="123" t="s">
        <v>488</v>
      </c>
      <c r="E433" s="122" t="s">
        <v>6</v>
      </c>
      <c r="F433" s="122" t="s">
        <v>7</v>
      </c>
      <c r="G433" s="124">
        <f>(40*5.7)</f>
        <v>228</v>
      </c>
      <c r="H433" s="122">
        <v>11</v>
      </c>
      <c r="I433" s="122">
        <v>2</v>
      </c>
      <c r="J433" s="159"/>
      <c r="K433" s="160"/>
      <c r="L433" s="161"/>
      <c r="M433" s="125"/>
    </row>
    <row r="434" spans="1:13" ht="13.5" customHeight="1" thickBot="1" x14ac:dyDescent="0.3">
      <c r="A434" s="151" t="s">
        <v>437</v>
      </c>
      <c r="B434" s="152"/>
      <c r="C434" s="152"/>
      <c r="D434" s="152"/>
      <c r="E434" s="152"/>
      <c r="F434" s="152"/>
      <c r="G434" s="12"/>
      <c r="H434" s="12"/>
      <c r="I434" s="12"/>
      <c r="J434" s="12"/>
      <c r="K434" s="12"/>
      <c r="L434" s="12"/>
      <c r="M434" s="13"/>
    </row>
    <row r="435" spans="1:13" ht="13.5" customHeight="1" x14ac:dyDescent="0.25">
      <c r="A435" s="14">
        <v>349</v>
      </c>
      <c r="B435" s="15">
        <v>45789</v>
      </c>
      <c r="C435" s="16" t="s">
        <v>5</v>
      </c>
      <c r="D435" s="45" t="s">
        <v>130</v>
      </c>
      <c r="E435" s="16" t="s">
        <v>6</v>
      </c>
      <c r="F435" s="16" t="s">
        <v>7</v>
      </c>
      <c r="G435" s="38">
        <f>(33.7*6)</f>
        <v>202.20000000000002</v>
      </c>
      <c r="H435" s="16">
        <f>7+1</f>
        <v>8</v>
      </c>
      <c r="I435" s="16">
        <v>1</v>
      </c>
      <c r="J435" s="145" t="s">
        <v>443</v>
      </c>
      <c r="K435" s="146"/>
      <c r="L435" s="147"/>
      <c r="M435" s="17"/>
    </row>
    <row r="436" spans="1:13" ht="13.5" customHeight="1" x14ac:dyDescent="0.25">
      <c r="A436" s="18">
        <v>350</v>
      </c>
      <c r="B436" s="19">
        <v>45789</v>
      </c>
      <c r="C436" s="20" t="s">
        <v>5</v>
      </c>
      <c r="D436" s="46" t="s">
        <v>131</v>
      </c>
      <c r="E436" s="20" t="s">
        <v>6</v>
      </c>
      <c r="F436" s="20" t="s">
        <v>7</v>
      </c>
      <c r="G436" s="43">
        <f>(11*3)</f>
        <v>33</v>
      </c>
      <c r="H436" s="20">
        <f>1</f>
        <v>1</v>
      </c>
      <c r="I436" s="20">
        <v>1</v>
      </c>
      <c r="J436" s="148"/>
      <c r="K436" s="149"/>
      <c r="L436" s="150"/>
      <c r="M436" s="21"/>
    </row>
    <row r="437" spans="1:13" ht="13.5" customHeight="1" x14ac:dyDescent="0.25">
      <c r="A437" s="18">
        <v>351</v>
      </c>
      <c r="B437" s="19">
        <v>45789</v>
      </c>
      <c r="C437" s="20" t="s">
        <v>5</v>
      </c>
      <c r="D437" s="46" t="s">
        <v>132</v>
      </c>
      <c r="E437" s="20" t="s">
        <v>6</v>
      </c>
      <c r="F437" s="20" t="s">
        <v>7</v>
      </c>
      <c r="G437" s="44">
        <f>(20*4.2)</f>
        <v>84</v>
      </c>
      <c r="H437" s="20">
        <f>2+1</f>
        <v>3</v>
      </c>
      <c r="I437" s="20">
        <v>1</v>
      </c>
      <c r="J437" s="148"/>
      <c r="K437" s="149"/>
      <c r="L437" s="150"/>
      <c r="M437" s="21"/>
    </row>
    <row r="438" spans="1:13" ht="13.5" customHeight="1" x14ac:dyDescent="0.25">
      <c r="A438" s="18">
        <v>352</v>
      </c>
      <c r="B438" s="19">
        <v>45789</v>
      </c>
      <c r="C438" s="20" t="s">
        <v>5</v>
      </c>
      <c r="D438" s="46" t="s">
        <v>16</v>
      </c>
      <c r="E438" s="20" t="s">
        <v>6</v>
      </c>
      <c r="F438" s="20" t="s">
        <v>7</v>
      </c>
      <c r="G438" s="44">
        <f>(46*6)</f>
        <v>276</v>
      </c>
      <c r="H438" s="20">
        <f>11+2</f>
        <v>13</v>
      </c>
      <c r="I438" s="20">
        <v>2</v>
      </c>
      <c r="J438" s="148"/>
      <c r="K438" s="149"/>
      <c r="L438" s="150"/>
      <c r="M438" s="21"/>
    </row>
    <row r="439" spans="1:13" ht="13.5" customHeight="1" x14ac:dyDescent="0.25">
      <c r="A439" s="18">
        <v>353</v>
      </c>
      <c r="B439" s="19">
        <v>45789</v>
      </c>
      <c r="C439" s="20" t="s">
        <v>5</v>
      </c>
      <c r="D439" s="46" t="s">
        <v>133</v>
      </c>
      <c r="E439" s="20" t="s">
        <v>6</v>
      </c>
      <c r="F439" s="20" t="s">
        <v>7</v>
      </c>
      <c r="G439" s="44">
        <f>(34*6)</f>
        <v>204</v>
      </c>
      <c r="H439" s="20">
        <f>9+2</f>
        <v>11</v>
      </c>
      <c r="I439" s="20">
        <v>2</v>
      </c>
      <c r="J439" s="148"/>
      <c r="K439" s="149"/>
      <c r="L439" s="150"/>
      <c r="M439" s="21"/>
    </row>
    <row r="440" spans="1:13" ht="13.5" customHeight="1" x14ac:dyDescent="0.25">
      <c r="A440" s="18">
        <v>354</v>
      </c>
      <c r="B440" s="19">
        <v>45789</v>
      </c>
      <c r="C440" s="20" t="s">
        <v>5</v>
      </c>
      <c r="D440" s="46" t="s">
        <v>134</v>
      </c>
      <c r="E440" s="20" t="s">
        <v>6</v>
      </c>
      <c r="F440" s="20" t="s">
        <v>7</v>
      </c>
      <c r="G440" s="20">
        <f>2*7.5*3.1</f>
        <v>46.5</v>
      </c>
      <c r="H440" s="20">
        <f>1+1</f>
        <v>2</v>
      </c>
      <c r="I440" s="20">
        <v>1</v>
      </c>
      <c r="J440" s="148"/>
      <c r="K440" s="149"/>
      <c r="L440" s="150"/>
      <c r="M440" s="21"/>
    </row>
    <row r="441" spans="1:13" ht="13.5" customHeight="1" x14ac:dyDescent="0.25">
      <c r="A441" s="18">
        <v>355</v>
      </c>
      <c r="B441" s="19">
        <v>45789</v>
      </c>
      <c r="C441" s="20" t="s">
        <v>5</v>
      </c>
      <c r="D441" s="46" t="s">
        <v>135</v>
      </c>
      <c r="E441" s="20" t="s">
        <v>6</v>
      </c>
      <c r="F441" s="20" t="s">
        <v>7</v>
      </c>
      <c r="G441" s="20">
        <f>(45.2*4.1)</f>
        <v>185.32</v>
      </c>
      <c r="H441" s="20">
        <f>4+1</f>
        <v>5</v>
      </c>
      <c r="I441" s="20">
        <v>1</v>
      </c>
      <c r="J441" s="148"/>
      <c r="K441" s="149"/>
      <c r="L441" s="150"/>
      <c r="M441" s="21"/>
    </row>
    <row r="442" spans="1:13" ht="13.5" customHeight="1" thickBot="1" x14ac:dyDescent="0.3">
      <c r="A442" s="18">
        <v>356</v>
      </c>
      <c r="B442" s="33">
        <v>45789</v>
      </c>
      <c r="C442" s="34" t="s">
        <v>5</v>
      </c>
      <c r="D442" s="105" t="s">
        <v>136</v>
      </c>
      <c r="E442" s="34" t="s">
        <v>6</v>
      </c>
      <c r="F442" s="34" t="s">
        <v>7</v>
      </c>
      <c r="G442" s="34">
        <f>27.2*6</f>
        <v>163.19999999999999</v>
      </c>
      <c r="H442" s="34">
        <f>5+1</f>
        <v>6</v>
      </c>
      <c r="I442" s="34">
        <v>1</v>
      </c>
      <c r="J442" s="148"/>
      <c r="K442" s="149"/>
      <c r="L442" s="150"/>
      <c r="M442" s="35"/>
    </row>
    <row r="443" spans="1:13" ht="13.5" customHeight="1" thickBot="1" x14ac:dyDescent="0.3">
      <c r="A443" s="151" t="s">
        <v>350</v>
      </c>
      <c r="B443" s="152"/>
      <c r="C443" s="152"/>
      <c r="D443" s="152"/>
      <c r="E443" s="152"/>
      <c r="F443" s="152"/>
      <c r="G443" s="12"/>
      <c r="H443" s="12"/>
      <c r="I443" s="12"/>
      <c r="J443" s="12"/>
      <c r="K443" s="12"/>
      <c r="L443" s="12"/>
      <c r="M443" s="13"/>
    </row>
    <row r="444" spans="1:13" ht="21.75" customHeight="1" thickBot="1" x14ac:dyDescent="0.3">
      <c r="A444" s="14">
        <v>357</v>
      </c>
      <c r="B444" s="15">
        <v>45790</v>
      </c>
      <c r="C444" s="16" t="s">
        <v>5</v>
      </c>
      <c r="D444" s="45" t="s">
        <v>351</v>
      </c>
      <c r="E444" s="16" t="s">
        <v>6</v>
      </c>
      <c r="F444" s="16" t="s">
        <v>7</v>
      </c>
      <c r="G444" s="16">
        <f>(4*2.6*(5+4))+(1*4*(6+3))</f>
        <v>129.60000000000002</v>
      </c>
      <c r="H444" s="16">
        <f>4+1</f>
        <v>5</v>
      </c>
      <c r="I444" s="16">
        <v>1</v>
      </c>
      <c r="J444" s="145" t="s">
        <v>443</v>
      </c>
      <c r="K444" s="146"/>
      <c r="L444" s="147"/>
      <c r="M444" s="17"/>
    </row>
    <row r="445" spans="1:13" ht="13.5" customHeight="1" thickBot="1" x14ac:dyDescent="0.3">
      <c r="A445" s="151" t="s">
        <v>352</v>
      </c>
      <c r="B445" s="152"/>
      <c r="C445" s="152"/>
      <c r="D445" s="152"/>
      <c r="E445" s="152"/>
      <c r="F445" s="152"/>
      <c r="G445" s="12"/>
      <c r="H445" s="12"/>
      <c r="I445" s="12"/>
      <c r="J445" s="12"/>
      <c r="K445" s="12"/>
      <c r="L445" s="12"/>
      <c r="M445" s="13"/>
    </row>
    <row r="446" spans="1:13" ht="13.5" customHeight="1" x14ac:dyDescent="0.25">
      <c r="A446" s="14">
        <v>358</v>
      </c>
      <c r="B446" s="15">
        <v>45790</v>
      </c>
      <c r="C446" s="16" t="s">
        <v>5</v>
      </c>
      <c r="D446" s="45" t="s">
        <v>353</v>
      </c>
      <c r="E446" s="16" t="s">
        <v>6</v>
      </c>
      <c r="F446" s="16" t="s">
        <v>7</v>
      </c>
      <c r="G446" s="16">
        <f>(28.5*5)</f>
        <v>142.5</v>
      </c>
      <c r="H446" s="16">
        <f>9+1</f>
        <v>10</v>
      </c>
      <c r="I446" s="16">
        <v>1</v>
      </c>
      <c r="J446" s="145" t="s">
        <v>443</v>
      </c>
      <c r="K446" s="146"/>
      <c r="L446" s="147"/>
      <c r="M446" s="17"/>
    </row>
    <row r="447" spans="1:13" ht="13.5" customHeight="1" thickBot="1" x14ac:dyDescent="0.3">
      <c r="A447" s="32">
        <v>359</v>
      </c>
      <c r="B447" s="33">
        <v>45790</v>
      </c>
      <c r="C447" s="34" t="s">
        <v>5</v>
      </c>
      <c r="D447" s="105" t="s">
        <v>470</v>
      </c>
      <c r="E447" s="34" t="s">
        <v>6</v>
      </c>
      <c r="F447" s="34" t="s">
        <v>7</v>
      </c>
      <c r="G447" s="34">
        <f>(21.5*4.3)</f>
        <v>92.45</v>
      </c>
      <c r="H447" s="34">
        <f>3+1</f>
        <v>4</v>
      </c>
      <c r="I447" s="34">
        <v>1</v>
      </c>
      <c r="J447" s="148"/>
      <c r="K447" s="149"/>
      <c r="L447" s="150"/>
      <c r="M447" s="35"/>
    </row>
    <row r="448" spans="1:13" ht="13.5" customHeight="1" thickBot="1" x14ac:dyDescent="0.3">
      <c r="A448" s="151" t="s">
        <v>354</v>
      </c>
      <c r="B448" s="152"/>
      <c r="C448" s="152"/>
      <c r="D448" s="152"/>
      <c r="E448" s="152"/>
      <c r="F448" s="152"/>
      <c r="G448" s="12"/>
      <c r="H448" s="12"/>
      <c r="I448" s="12"/>
      <c r="J448" s="12"/>
      <c r="K448" s="12"/>
      <c r="L448" s="12"/>
      <c r="M448" s="13"/>
    </row>
    <row r="449" spans="1:13" ht="13.5" customHeight="1" x14ac:dyDescent="0.25">
      <c r="A449" s="14">
        <v>360</v>
      </c>
      <c r="B449" s="15">
        <v>45790</v>
      </c>
      <c r="C449" s="16" t="s">
        <v>5</v>
      </c>
      <c r="D449" s="45" t="s">
        <v>355</v>
      </c>
      <c r="E449" s="16" t="s">
        <v>6</v>
      </c>
      <c r="F449" s="16" t="s">
        <v>7</v>
      </c>
      <c r="G449" s="41">
        <f>((4.5+6.2)/2)*100</f>
        <v>535</v>
      </c>
      <c r="H449" s="16">
        <f>33+4</f>
        <v>37</v>
      </c>
      <c r="I449" s="16">
        <v>4</v>
      </c>
      <c r="J449" s="145" t="s">
        <v>443</v>
      </c>
      <c r="K449" s="146"/>
      <c r="L449" s="147"/>
      <c r="M449" s="17"/>
    </row>
    <row r="450" spans="1:13" ht="13.5" customHeight="1" x14ac:dyDescent="0.25">
      <c r="A450" s="18">
        <v>361</v>
      </c>
      <c r="B450" s="19">
        <v>45790</v>
      </c>
      <c r="C450" s="20" t="s">
        <v>5</v>
      </c>
      <c r="D450" s="46" t="s">
        <v>356</v>
      </c>
      <c r="E450" s="20" t="s">
        <v>6</v>
      </c>
      <c r="F450" s="20" t="s">
        <v>7</v>
      </c>
      <c r="G450" s="31">
        <f>(34*6.2)</f>
        <v>210.8</v>
      </c>
      <c r="H450" s="20">
        <f>10+2</f>
        <v>12</v>
      </c>
      <c r="I450" s="20">
        <v>2</v>
      </c>
      <c r="J450" s="148"/>
      <c r="K450" s="149"/>
      <c r="L450" s="150"/>
      <c r="M450" s="21"/>
    </row>
    <row r="451" spans="1:13" ht="13.5" customHeight="1" x14ac:dyDescent="0.25">
      <c r="A451" s="18">
        <v>362</v>
      </c>
      <c r="B451" s="19">
        <v>45790</v>
      </c>
      <c r="C451" s="20" t="s">
        <v>5</v>
      </c>
      <c r="D451" s="46" t="s">
        <v>357</v>
      </c>
      <c r="E451" s="20" t="s">
        <v>6</v>
      </c>
      <c r="F451" s="20" t="s">
        <v>7</v>
      </c>
      <c r="G451" s="44">
        <f>(54*3)</f>
        <v>162</v>
      </c>
      <c r="H451" s="20">
        <f>7+1</f>
        <v>8</v>
      </c>
      <c r="I451" s="20">
        <v>1</v>
      </c>
      <c r="J451" s="148"/>
      <c r="K451" s="149"/>
      <c r="L451" s="150"/>
      <c r="M451" s="21"/>
    </row>
    <row r="452" spans="1:13" ht="13.5" customHeight="1" thickBot="1" x14ac:dyDescent="0.3">
      <c r="A452" s="18">
        <v>363</v>
      </c>
      <c r="B452" s="19">
        <v>45790</v>
      </c>
      <c r="C452" s="20" t="s">
        <v>5</v>
      </c>
      <c r="D452" s="46" t="s">
        <v>358</v>
      </c>
      <c r="E452" s="20" t="s">
        <v>6</v>
      </c>
      <c r="F452" s="20" t="s">
        <v>7</v>
      </c>
      <c r="G452" s="20">
        <f>(15*2.5*5)+(2*3.8*6)</f>
        <v>233.1</v>
      </c>
      <c r="H452" s="20">
        <f>15+2</f>
        <v>17</v>
      </c>
      <c r="I452" s="20">
        <v>2</v>
      </c>
      <c r="J452" s="148"/>
      <c r="K452" s="149"/>
      <c r="L452" s="150"/>
      <c r="M452" s="21"/>
    </row>
    <row r="453" spans="1:13" ht="13.5" customHeight="1" thickBot="1" x14ac:dyDescent="0.3">
      <c r="A453" s="151" t="s">
        <v>359</v>
      </c>
      <c r="B453" s="152"/>
      <c r="C453" s="152"/>
      <c r="D453" s="152"/>
      <c r="E453" s="152"/>
      <c r="F453" s="152"/>
      <c r="G453" s="12"/>
      <c r="H453" s="12"/>
      <c r="I453" s="12"/>
      <c r="J453" s="12"/>
      <c r="K453" s="12"/>
      <c r="L453" s="12"/>
      <c r="M453" s="13"/>
    </row>
    <row r="454" spans="1:13" ht="13.5" customHeight="1" x14ac:dyDescent="0.25">
      <c r="A454" s="14">
        <v>364</v>
      </c>
      <c r="B454" s="15">
        <v>45790</v>
      </c>
      <c r="C454" s="16" t="s">
        <v>5</v>
      </c>
      <c r="D454" s="92" t="s">
        <v>360</v>
      </c>
      <c r="E454" s="38" t="s">
        <v>6</v>
      </c>
      <c r="F454" s="38" t="s">
        <v>7</v>
      </c>
      <c r="G454" s="38">
        <f>(27*6.1)</f>
        <v>164.7</v>
      </c>
      <c r="H454" s="16">
        <f>7+1</f>
        <v>8</v>
      </c>
      <c r="I454" s="16">
        <v>1</v>
      </c>
      <c r="J454" s="145" t="s">
        <v>443</v>
      </c>
      <c r="K454" s="146"/>
      <c r="L454" s="147"/>
      <c r="M454" s="17"/>
    </row>
    <row r="455" spans="1:13" ht="13.5" customHeight="1" x14ac:dyDescent="0.25">
      <c r="A455" s="18">
        <v>365</v>
      </c>
      <c r="B455" s="19">
        <v>45790</v>
      </c>
      <c r="C455" s="20" t="s">
        <v>5</v>
      </c>
      <c r="D455" s="103" t="s">
        <v>361</v>
      </c>
      <c r="E455" s="24" t="s">
        <v>6</v>
      </c>
      <c r="F455" s="24" t="s">
        <v>7</v>
      </c>
      <c r="G455" s="49">
        <f>((5+3.6)/2)*55</f>
        <v>236.5</v>
      </c>
      <c r="H455" s="20">
        <f>6+1</f>
        <v>7</v>
      </c>
      <c r="I455" s="20">
        <v>1</v>
      </c>
      <c r="J455" s="148"/>
      <c r="K455" s="149"/>
      <c r="L455" s="150"/>
      <c r="M455" s="21"/>
    </row>
    <row r="456" spans="1:13" ht="13.5" customHeight="1" thickBot="1" x14ac:dyDescent="0.3">
      <c r="A456" s="18">
        <v>366</v>
      </c>
      <c r="B456" s="19">
        <v>45790</v>
      </c>
      <c r="C456" s="20" t="s">
        <v>5</v>
      </c>
      <c r="D456" s="103" t="s">
        <v>362</v>
      </c>
      <c r="E456" s="24" t="s">
        <v>6</v>
      </c>
      <c r="F456" s="24" t="s">
        <v>7</v>
      </c>
      <c r="G456" s="40">
        <f>(33.5*6)</f>
        <v>201</v>
      </c>
      <c r="H456" s="20">
        <f>8+1</f>
        <v>9</v>
      </c>
      <c r="I456" s="20">
        <v>1</v>
      </c>
      <c r="J456" s="148"/>
      <c r="K456" s="149"/>
      <c r="L456" s="150"/>
      <c r="M456" s="21"/>
    </row>
    <row r="457" spans="1:13" ht="13.5" customHeight="1" thickBot="1" x14ac:dyDescent="0.3">
      <c r="A457" s="151" t="s">
        <v>363</v>
      </c>
      <c r="B457" s="152"/>
      <c r="C457" s="152"/>
      <c r="D457" s="152"/>
      <c r="E457" s="152"/>
      <c r="F457" s="152"/>
      <c r="G457" s="12"/>
      <c r="H457" s="12"/>
      <c r="I457" s="12"/>
      <c r="J457" s="12"/>
      <c r="K457" s="12"/>
      <c r="L457" s="12"/>
      <c r="M457" s="13"/>
    </row>
    <row r="458" spans="1:13" ht="13.5" customHeight="1" x14ac:dyDescent="0.25">
      <c r="A458" s="14">
        <v>367</v>
      </c>
      <c r="B458" s="15">
        <v>45791</v>
      </c>
      <c r="C458" s="16" t="s">
        <v>5</v>
      </c>
      <c r="D458" s="92" t="s">
        <v>364</v>
      </c>
      <c r="E458" s="38" t="s">
        <v>6</v>
      </c>
      <c r="F458" s="38" t="s">
        <v>7</v>
      </c>
      <c r="G458" s="38">
        <f>(68*4.21)</f>
        <v>286.27999999999997</v>
      </c>
      <c r="H458" s="16">
        <f>18+3</f>
        <v>21</v>
      </c>
      <c r="I458" s="16">
        <v>3</v>
      </c>
      <c r="J458" s="145" t="s">
        <v>443</v>
      </c>
      <c r="K458" s="146"/>
      <c r="L458" s="147"/>
      <c r="M458" s="17"/>
    </row>
    <row r="459" spans="1:13" ht="13.5" customHeight="1" x14ac:dyDescent="0.25">
      <c r="A459" s="18">
        <v>368</v>
      </c>
      <c r="B459" s="19">
        <v>45791</v>
      </c>
      <c r="C459" s="20" t="s">
        <v>5</v>
      </c>
      <c r="D459" s="103" t="s">
        <v>365</v>
      </c>
      <c r="E459" s="24" t="s">
        <v>6</v>
      </c>
      <c r="F459" s="24" t="s">
        <v>7</v>
      </c>
      <c r="G459" s="55">
        <f>(21*4)</f>
        <v>84</v>
      </c>
      <c r="H459" s="20">
        <f>2+1</f>
        <v>3</v>
      </c>
      <c r="I459" s="20">
        <v>1</v>
      </c>
      <c r="J459" s="148"/>
      <c r="K459" s="149"/>
      <c r="L459" s="150"/>
      <c r="M459" s="21"/>
    </row>
    <row r="460" spans="1:13" ht="13.5" customHeight="1" x14ac:dyDescent="0.25">
      <c r="A460" s="18">
        <v>369</v>
      </c>
      <c r="B460" s="19">
        <v>45791</v>
      </c>
      <c r="C460" s="20" t="s">
        <v>5</v>
      </c>
      <c r="D460" s="103" t="s">
        <v>366</v>
      </c>
      <c r="E460" s="24" t="s">
        <v>6</v>
      </c>
      <c r="F460" s="24" t="s">
        <v>7</v>
      </c>
      <c r="G460" s="24">
        <f>(20*2.5*(5+4))+(3*3.6*(6+3))</f>
        <v>547.20000000000005</v>
      </c>
      <c r="H460" s="20">
        <f>20+3</f>
        <v>23</v>
      </c>
      <c r="I460" s="20">
        <v>3</v>
      </c>
      <c r="J460" s="148"/>
      <c r="K460" s="149"/>
      <c r="L460" s="150"/>
      <c r="M460" s="21"/>
    </row>
    <row r="461" spans="1:13" ht="13.5" customHeight="1" x14ac:dyDescent="0.25">
      <c r="A461" s="18">
        <v>370</v>
      </c>
      <c r="B461" s="19">
        <v>45791</v>
      </c>
      <c r="C461" s="20" t="s">
        <v>5</v>
      </c>
      <c r="D461" s="103" t="s">
        <v>367</v>
      </c>
      <c r="E461" s="24" t="s">
        <v>6</v>
      </c>
      <c r="F461" s="24" t="s">
        <v>7</v>
      </c>
      <c r="G461" s="40">
        <f>(20*6.8)</f>
        <v>136</v>
      </c>
      <c r="H461" s="20">
        <f>5+1</f>
        <v>6</v>
      </c>
      <c r="I461" s="20">
        <v>1</v>
      </c>
      <c r="J461" s="148"/>
      <c r="K461" s="149"/>
      <c r="L461" s="150"/>
      <c r="M461" s="21"/>
    </row>
    <row r="462" spans="1:13" ht="13.5" customHeight="1" x14ac:dyDescent="0.25">
      <c r="A462" s="18">
        <v>371</v>
      </c>
      <c r="B462" s="19">
        <v>45791</v>
      </c>
      <c r="C462" s="20" t="s">
        <v>5</v>
      </c>
      <c r="D462" s="103" t="s">
        <v>368</v>
      </c>
      <c r="E462" s="24" t="s">
        <v>6</v>
      </c>
      <c r="F462" s="24" t="s">
        <v>7</v>
      </c>
      <c r="G462" s="24">
        <f>(17*5.5)+(47*3.4)</f>
        <v>253.29999999999998</v>
      </c>
      <c r="H462" s="20">
        <f>3+1+5</f>
        <v>9</v>
      </c>
      <c r="I462" s="20">
        <v>1</v>
      </c>
      <c r="J462" s="148"/>
      <c r="K462" s="149"/>
      <c r="L462" s="150"/>
      <c r="M462" s="21"/>
    </row>
    <row r="463" spans="1:13" ht="13.5" customHeight="1" x14ac:dyDescent="0.25">
      <c r="A463" s="18">
        <v>372</v>
      </c>
      <c r="B463" s="19">
        <v>45791</v>
      </c>
      <c r="C463" s="20" t="s">
        <v>5</v>
      </c>
      <c r="D463" s="103" t="s">
        <v>369</v>
      </c>
      <c r="E463" s="24" t="s">
        <v>6</v>
      </c>
      <c r="F463" s="24" t="s">
        <v>7</v>
      </c>
      <c r="G463" s="24">
        <f>(143.8*3.5)</f>
        <v>503.30000000000007</v>
      </c>
      <c r="H463" s="20">
        <f>15+2</f>
        <v>17</v>
      </c>
      <c r="I463" s="20">
        <v>2</v>
      </c>
      <c r="J463" s="148"/>
      <c r="K463" s="149"/>
      <c r="L463" s="150"/>
      <c r="M463" s="21"/>
    </row>
    <row r="464" spans="1:13" ht="13.5" customHeight="1" thickBot="1" x14ac:dyDescent="0.3">
      <c r="A464" s="18">
        <v>373</v>
      </c>
      <c r="B464" s="19">
        <v>45791</v>
      </c>
      <c r="C464" s="20" t="s">
        <v>5</v>
      </c>
      <c r="D464" s="103" t="s">
        <v>370</v>
      </c>
      <c r="E464" s="24" t="s">
        <v>6</v>
      </c>
      <c r="F464" s="24" t="s">
        <v>7</v>
      </c>
      <c r="G464" s="40">
        <f>(143*3)</f>
        <v>429</v>
      </c>
      <c r="H464" s="20">
        <f>16+2</f>
        <v>18</v>
      </c>
      <c r="I464" s="20">
        <v>2</v>
      </c>
      <c r="J464" s="148"/>
      <c r="K464" s="149"/>
      <c r="L464" s="150"/>
      <c r="M464" s="21"/>
    </row>
    <row r="465" spans="1:13" ht="13.5" customHeight="1" thickBot="1" x14ac:dyDescent="0.3">
      <c r="A465" s="151" t="s">
        <v>371</v>
      </c>
      <c r="B465" s="152"/>
      <c r="C465" s="152"/>
      <c r="D465" s="152"/>
      <c r="E465" s="152"/>
      <c r="F465" s="152"/>
      <c r="G465" s="12"/>
      <c r="H465" s="12"/>
      <c r="I465" s="12"/>
      <c r="J465" s="12"/>
      <c r="K465" s="12"/>
      <c r="L465" s="12"/>
      <c r="M465" s="13"/>
    </row>
    <row r="466" spans="1:13" ht="13.5" customHeight="1" x14ac:dyDescent="0.25">
      <c r="A466" s="14">
        <v>374</v>
      </c>
      <c r="B466" s="15">
        <v>45791</v>
      </c>
      <c r="C466" s="16" t="s">
        <v>5</v>
      </c>
      <c r="D466" s="45" t="s">
        <v>372</v>
      </c>
      <c r="E466" s="16" t="s">
        <v>6</v>
      </c>
      <c r="F466" s="16" t="s">
        <v>7</v>
      </c>
      <c r="G466" s="16">
        <f>(32.7*6.1)</f>
        <v>199.47</v>
      </c>
      <c r="H466" s="16">
        <f>9+1</f>
        <v>10</v>
      </c>
      <c r="I466" s="16">
        <v>1</v>
      </c>
      <c r="J466" s="145" t="s">
        <v>443</v>
      </c>
      <c r="K466" s="146"/>
      <c r="L466" s="147"/>
      <c r="M466" s="17"/>
    </row>
    <row r="467" spans="1:13" ht="13.5" customHeight="1" thickBot="1" x14ac:dyDescent="0.3">
      <c r="A467" s="32">
        <v>375</v>
      </c>
      <c r="B467" s="33">
        <v>45791</v>
      </c>
      <c r="C467" s="34" t="s">
        <v>5</v>
      </c>
      <c r="D467" s="105" t="s">
        <v>373</v>
      </c>
      <c r="E467" s="34" t="s">
        <v>6</v>
      </c>
      <c r="F467" s="34" t="s">
        <v>7</v>
      </c>
      <c r="G467" s="34">
        <f>(2*7.5*3.7)+(1*8*3.7)</f>
        <v>85.1</v>
      </c>
      <c r="H467" s="34">
        <f>2+1</f>
        <v>3</v>
      </c>
      <c r="I467" s="34">
        <v>1</v>
      </c>
      <c r="J467" s="148"/>
      <c r="K467" s="149"/>
      <c r="L467" s="150"/>
      <c r="M467" s="35"/>
    </row>
    <row r="468" spans="1:13" ht="13.5" customHeight="1" thickBot="1" x14ac:dyDescent="0.3">
      <c r="A468" s="151" t="s">
        <v>146</v>
      </c>
      <c r="B468" s="152"/>
      <c r="C468" s="152"/>
      <c r="D468" s="152"/>
      <c r="E468" s="152"/>
      <c r="F468" s="152"/>
      <c r="G468" s="12"/>
      <c r="H468" s="12"/>
      <c r="I468" s="12"/>
      <c r="J468" s="12"/>
      <c r="K468" s="12"/>
      <c r="L468" s="12"/>
      <c r="M468" s="13"/>
    </row>
    <row r="469" spans="1:13" ht="21.75" customHeight="1" thickBot="1" x14ac:dyDescent="0.3">
      <c r="A469" s="14">
        <v>376</v>
      </c>
      <c r="B469" s="15">
        <v>45791</v>
      </c>
      <c r="C469" s="16" t="s">
        <v>5</v>
      </c>
      <c r="D469" s="45" t="s">
        <v>147</v>
      </c>
      <c r="E469" s="16" t="s">
        <v>6</v>
      </c>
      <c r="F469" s="16" t="s">
        <v>7</v>
      </c>
      <c r="G469" s="41">
        <f>(24*4.5)+(33*5)</f>
        <v>273</v>
      </c>
      <c r="H469" s="16">
        <f>8+1</f>
        <v>9</v>
      </c>
      <c r="I469" s="16">
        <v>1</v>
      </c>
      <c r="J469" s="145" t="s">
        <v>443</v>
      </c>
      <c r="K469" s="146"/>
      <c r="L469" s="147"/>
      <c r="M469" s="17"/>
    </row>
    <row r="470" spans="1:13" ht="13.5" customHeight="1" thickBot="1" x14ac:dyDescent="0.3">
      <c r="A470" s="151" t="s">
        <v>374</v>
      </c>
      <c r="B470" s="152"/>
      <c r="C470" s="152"/>
      <c r="D470" s="152"/>
      <c r="E470" s="152"/>
      <c r="F470" s="152"/>
      <c r="G470" s="12"/>
      <c r="H470" s="12"/>
      <c r="I470" s="12"/>
      <c r="J470" s="12"/>
      <c r="K470" s="12"/>
      <c r="L470" s="12"/>
      <c r="M470" s="13"/>
    </row>
    <row r="471" spans="1:13" ht="13.5" customHeight="1" x14ac:dyDescent="0.25">
      <c r="A471" s="14">
        <v>377</v>
      </c>
      <c r="B471" s="15">
        <v>45792</v>
      </c>
      <c r="C471" s="16" t="s">
        <v>5</v>
      </c>
      <c r="D471" s="45" t="s">
        <v>375</v>
      </c>
      <c r="E471" s="16" t="s">
        <v>6</v>
      </c>
      <c r="F471" s="16" t="s">
        <v>7</v>
      </c>
      <c r="G471" s="16">
        <f>(4*7.5*2.6)+(1*7.5*2.6)</f>
        <v>97.5</v>
      </c>
      <c r="H471" s="16">
        <f>4+1</f>
        <v>5</v>
      </c>
      <c r="I471" s="16">
        <v>1</v>
      </c>
      <c r="J471" s="145" t="s">
        <v>443</v>
      </c>
      <c r="K471" s="146"/>
      <c r="L471" s="147"/>
      <c r="M471" s="17"/>
    </row>
    <row r="472" spans="1:13" ht="13.5" customHeight="1" thickBot="1" x14ac:dyDescent="0.3">
      <c r="A472" s="32">
        <v>378</v>
      </c>
      <c r="B472" s="33">
        <v>45792</v>
      </c>
      <c r="C472" s="34" t="s">
        <v>5</v>
      </c>
      <c r="D472" s="105" t="s">
        <v>376</v>
      </c>
      <c r="E472" s="34" t="s">
        <v>6</v>
      </c>
      <c r="F472" s="34" t="s">
        <v>7</v>
      </c>
      <c r="G472" s="34">
        <f>(2*5.5*4)+(1*6*4)</f>
        <v>68</v>
      </c>
      <c r="H472" s="34">
        <f>2+1</f>
        <v>3</v>
      </c>
      <c r="I472" s="34">
        <v>1</v>
      </c>
      <c r="J472" s="148"/>
      <c r="K472" s="149"/>
      <c r="L472" s="150"/>
      <c r="M472" s="35"/>
    </row>
    <row r="473" spans="1:13" ht="13.5" customHeight="1" thickBot="1" x14ac:dyDescent="0.3">
      <c r="A473" s="151" t="s">
        <v>237</v>
      </c>
      <c r="B473" s="152"/>
      <c r="C473" s="152"/>
      <c r="D473" s="152"/>
      <c r="E473" s="152"/>
      <c r="F473" s="152"/>
      <c r="G473" s="12"/>
      <c r="H473" s="12"/>
      <c r="I473" s="12"/>
      <c r="J473" s="12"/>
      <c r="K473" s="12"/>
      <c r="L473" s="12"/>
      <c r="M473" s="13"/>
    </row>
    <row r="474" spans="1:13" ht="13.5" customHeight="1" x14ac:dyDescent="0.25">
      <c r="A474" s="14">
        <v>379</v>
      </c>
      <c r="B474" s="15">
        <v>45792</v>
      </c>
      <c r="C474" s="16" t="s">
        <v>5</v>
      </c>
      <c r="D474" s="45" t="s">
        <v>238</v>
      </c>
      <c r="E474" s="16" t="s">
        <v>6</v>
      </c>
      <c r="F474" s="16" t="s">
        <v>7</v>
      </c>
      <c r="G474" s="41">
        <f>(96.3*9)+(15*14)+(9*7)</f>
        <v>1139.6999999999998</v>
      </c>
      <c r="H474" s="16">
        <f>30+4</f>
        <v>34</v>
      </c>
      <c r="I474" s="16">
        <v>4</v>
      </c>
      <c r="J474" s="145" t="s">
        <v>443</v>
      </c>
      <c r="K474" s="146"/>
      <c r="L474" s="147"/>
      <c r="M474" s="17"/>
    </row>
    <row r="475" spans="1:13" ht="13.5" customHeight="1" x14ac:dyDescent="0.25">
      <c r="A475" s="42">
        <v>380</v>
      </c>
      <c r="B475" s="19">
        <v>45792</v>
      </c>
      <c r="C475" s="20" t="s">
        <v>5</v>
      </c>
      <c r="D475" s="46" t="s">
        <v>239</v>
      </c>
      <c r="E475" s="20" t="s">
        <v>6</v>
      </c>
      <c r="F475" s="20" t="s">
        <v>7</v>
      </c>
      <c r="G475" s="43">
        <f>((59+36)/2)*3.23</f>
        <v>153.42500000000001</v>
      </c>
      <c r="H475" s="20">
        <f>4+1</f>
        <v>5</v>
      </c>
      <c r="I475" s="20">
        <v>1</v>
      </c>
      <c r="J475" s="148"/>
      <c r="K475" s="149"/>
      <c r="L475" s="150"/>
      <c r="M475" s="21"/>
    </row>
    <row r="476" spans="1:13" ht="13.5" customHeight="1" x14ac:dyDescent="0.25">
      <c r="A476" s="18">
        <v>381</v>
      </c>
      <c r="B476" s="19">
        <v>45792</v>
      </c>
      <c r="C476" s="20" t="s">
        <v>5</v>
      </c>
      <c r="D476" s="46" t="s">
        <v>240</v>
      </c>
      <c r="E476" s="20" t="s">
        <v>6</v>
      </c>
      <c r="F476" s="20" t="s">
        <v>7</v>
      </c>
      <c r="G476" s="20">
        <f>(35*2.5*(5+4))+(4*3.6*(5+4))+32.29+37.97</f>
        <v>987.36</v>
      </c>
      <c r="H476" s="20">
        <f>35+4</f>
        <v>39</v>
      </c>
      <c r="I476" s="20">
        <v>4</v>
      </c>
      <c r="J476" s="148"/>
      <c r="K476" s="149"/>
      <c r="L476" s="150"/>
      <c r="M476" s="21"/>
    </row>
    <row r="477" spans="1:13" ht="13.5" customHeight="1" thickBot="1" x14ac:dyDescent="0.3">
      <c r="A477" s="18">
        <v>382</v>
      </c>
      <c r="B477" s="19">
        <v>45792</v>
      </c>
      <c r="C477" s="20" t="s">
        <v>5</v>
      </c>
      <c r="D477" s="46" t="s">
        <v>241</v>
      </c>
      <c r="E477" s="20" t="s">
        <v>6</v>
      </c>
      <c r="F477" s="20" t="s">
        <v>7</v>
      </c>
      <c r="G477" s="20">
        <f>(51.8*9)+(10*7)+(12*7)</f>
        <v>620.20000000000005</v>
      </c>
      <c r="H477" s="20">
        <f>18+2</f>
        <v>20</v>
      </c>
      <c r="I477" s="20">
        <v>2</v>
      </c>
      <c r="J477" s="148"/>
      <c r="K477" s="149"/>
      <c r="L477" s="150"/>
      <c r="M477" s="21"/>
    </row>
    <row r="478" spans="1:13" ht="13.5" customHeight="1" thickBot="1" x14ac:dyDescent="0.3">
      <c r="A478" s="151" t="s">
        <v>377</v>
      </c>
      <c r="B478" s="152"/>
      <c r="C478" s="152"/>
      <c r="D478" s="152"/>
      <c r="E478" s="152"/>
      <c r="F478" s="152"/>
      <c r="G478" s="12"/>
      <c r="H478" s="12"/>
      <c r="I478" s="12"/>
      <c r="J478" s="12"/>
      <c r="K478" s="12"/>
      <c r="L478" s="12"/>
      <c r="M478" s="13"/>
    </row>
    <row r="479" spans="1:13" ht="13.5" customHeight="1" x14ac:dyDescent="0.25">
      <c r="A479" s="61">
        <v>383</v>
      </c>
      <c r="B479" s="79">
        <v>45793</v>
      </c>
      <c r="C479" s="38" t="s">
        <v>5</v>
      </c>
      <c r="D479" s="92" t="s">
        <v>472</v>
      </c>
      <c r="E479" s="38" t="s">
        <v>6</v>
      </c>
      <c r="F479" s="38" t="s">
        <v>7</v>
      </c>
      <c r="G479" s="64">
        <f>((19+26)/2)*15</f>
        <v>337.5</v>
      </c>
      <c r="H479" s="38">
        <f>6+1</f>
        <v>7</v>
      </c>
      <c r="I479" s="38">
        <v>1</v>
      </c>
      <c r="J479" s="145" t="s">
        <v>443</v>
      </c>
      <c r="K479" s="146"/>
      <c r="L479" s="147"/>
      <c r="M479" s="80"/>
    </row>
    <row r="480" spans="1:13" ht="13.5" customHeight="1" x14ac:dyDescent="0.25">
      <c r="A480" s="18">
        <v>384</v>
      </c>
      <c r="B480" s="19">
        <v>45793</v>
      </c>
      <c r="C480" s="20" t="s">
        <v>5</v>
      </c>
      <c r="D480" s="46" t="s">
        <v>378</v>
      </c>
      <c r="E480" s="20" t="s">
        <v>6</v>
      </c>
      <c r="F480" s="20" t="s">
        <v>7</v>
      </c>
      <c r="G480" s="44">
        <f>(3*7.5*2.5)+(1*7.5*2.5)</f>
        <v>75</v>
      </c>
      <c r="H480" s="20">
        <f>3+1</f>
        <v>4</v>
      </c>
      <c r="I480" s="20">
        <v>1</v>
      </c>
      <c r="J480" s="148"/>
      <c r="K480" s="149"/>
      <c r="L480" s="150"/>
      <c r="M480" s="21"/>
    </row>
    <row r="481" spans="1:13" ht="13.5" customHeight="1" x14ac:dyDescent="0.25">
      <c r="A481" s="18">
        <v>385</v>
      </c>
      <c r="B481" s="19">
        <v>45793</v>
      </c>
      <c r="C481" s="20" t="s">
        <v>5</v>
      </c>
      <c r="D481" s="46" t="s">
        <v>379</v>
      </c>
      <c r="E481" s="20" t="s">
        <v>6</v>
      </c>
      <c r="F481" s="20" t="s">
        <v>7</v>
      </c>
      <c r="G481" s="43">
        <f>(15*9.4)</f>
        <v>141</v>
      </c>
      <c r="H481" s="20">
        <f>4+1</f>
        <v>5</v>
      </c>
      <c r="I481" s="20">
        <v>1</v>
      </c>
      <c r="J481" s="148"/>
      <c r="K481" s="149"/>
      <c r="L481" s="150"/>
      <c r="M481" s="21"/>
    </row>
    <row r="482" spans="1:13" ht="13.5" customHeight="1" x14ac:dyDescent="0.25">
      <c r="A482" s="18">
        <v>386</v>
      </c>
      <c r="B482" s="19">
        <v>45793</v>
      </c>
      <c r="C482" s="20" t="s">
        <v>5</v>
      </c>
      <c r="D482" s="46" t="s">
        <v>380</v>
      </c>
      <c r="E482" s="20" t="s">
        <v>6</v>
      </c>
      <c r="F482" s="20" t="s">
        <v>7</v>
      </c>
      <c r="G482" s="20">
        <f>(56.8*6)+(19*7)</f>
        <v>473.79999999999995</v>
      </c>
      <c r="H482" s="20">
        <f>23+3</f>
        <v>26</v>
      </c>
      <c r="I482" s="20">
        <v>3</v>
      </c>
      <c r="J482" s="148"/>
      <c r="K482" s="149"/>
      <c r="L482" s="150"/>
      <c r="M482" s="21"/>
    </row>
    <row r="483" spans="1:13" ht="13.5" customHeight="1" x14ac:dyDescent="0.25">
      <c r="A483" s="18">
        <v>387</v>
      </c>
      <c r="B483" s="19">
        <v>45793</v>
      </c>
      <c r="C483" s="20" t="s">
        <v>5</v>
      </c>
      <c r="D483" s="46" t="s">
        <v>381</v>
      </c>
      <c r="E483" s="20" t="s">
        <v>6</v>
      </c>
      <c r="F483" s="20" t="s">
        <v>7</v>
      </c>
      <c r="G483" s="20">
        <f>(22.57*6)</f>
        <v>135.42000000000002</v>
      </c>
      <c r="H483" s="20">
        <f>6+1</f>
        <v>7</v>
      </c>
      <c r="I483" s="20">
        <v>1</v>
      </c>
      <c r="J483" s="148"/>
      <c r="K483" s="149"/>
      <c r="L483" s="150"/>
      <c r="M483" s="21"/>
    </row>
    <row r="484" spans="1:13" ht="13.5" customHeight="1" thickBot="1" x14ac:dyDescent="0.3">
      <c r="A484" s="18">
        <v>388</v>
      </c>
      <c r="B484" s="19">
        <v>45793</v>
      </c>
      <c r="C484" s="20" t="s">
        <v>5</v>
      </c>
      <c r="D484" s="46" t="s">
        <v>382</v>
      </c>
      <c r="E484" s="20" t="s">
        <v>6</v>
      </c>
      <c r="F484" s="20" t="s">
        <v>7</v>
      </c>
      <c r="G484" s="20">
        <f>(2*2.5*(5+3))+(1*3.3*(6+2))</f>
        <v>66.400000000000006</v>
      </c>
      <c r="H484" s="20">
        <f>2+1</f>
        <v>3</v>
      </c>
      <c r="I484" s="20">
        <v>1</v>
      </c>
      <c r="J484" s="153"/>
      <c r="K484" s="154"/>
      <c r="L484" s="155"/>
      <c r="M484" s="21"/>
    </row>
    <row r="485" spans="1:13" ht="13.5" customHeight="1" thickBot="1" x14ac:dyDescent="0.3">
      <c r="A485" s="151" t="s">
        <v>383</v>
      </c>
      <c r="B485" s="152"/>
      <c r="C485" s="152"/>
      <c r="D485" s="152"/>
      <c r="E485" s="152"/>
      <c r="F485" s="152"/>
      <c r="G485" s="12"/>
      <c r="H485" s="12"/>
      <c r="I485" s="12"/>
      <c r="J485" s="12"/>
      <c r="K485" s="12"/>
      <c r="L485" s="12"/>
      <c r="M485" s="13"/>
    </row>
    <row r="486" spans="1:13" ht="13.5" customHeight="1" x14ac:dyDescent="0.25">
      <c r="A486" s="14">
        <v>389</v>
      </c>
      <c r="B486" s="15">
        <v>45793</v>
      </c>
      <c r="C486" s="16" t="s">
        <v>5</v>
      </c>
      <c r="D486" s="45" t="s">
        <v>384</v>
      </c>
      <c r="E486" s="16" t="s">
        <v>6</v>
      </c>
      <c r="F486" s="16" t="s">
        <v>7</v>
      </c>
      <c r="G486" s="41">
        <f>(10*7.5*2.5)+(2*7.5*2.5)</f>
        <v>225</v>
      </c>
      <c r="H486" s="16">
        <f>10+2</f>
        <v>12</v>
      </c>
      <c r="I486" s="16">
        <v>2</v>
      </c>
      <c r="J486" s="145" t="s">
        <v>443</v>
      </c>
      <c r="K486" s="146"/>
      <c r="L486" s="147"/>
      <c r="M486" s="17"/>
    </row>
    <row r="487" spans="1:13" ht="13.5" customHeight="1" thickBot="1" x14ac:dyDescent="0.3">
      <c r="A487" s="22">
        <v>390</v>
      </c>
      <c r="B487" s="23">
        <v>45793</v>
      </c>
      <c r="C487" s="24" t="s">
        <v>5</v>
      </c>
      <c r="D487" s="103" t="s">
        <v>152</v>
      </c>
      <c r="E487" s="24" t="s">
        <v>6</v>
      </c>
      <c r="F487" s="24" t="s">
        <v>7</v>
      </c>
      <c r="G487" s="55">
        <f>(13*8)+(55*5)</f>
        <v>379</v>
      </c>
      <c r="H487" s="24">
        <f>8+2</f>
        <v>10</v>
      </c>
      <c r="I487" s="24">
        <v>2</v>
      </c>
      <c r="J487" s="148"/>
      <c r="K487" s="149"/>
      <c r="L487" s="150"/>
      <c r="M487" s="35"/>
    </row>
    <row r="488" spans="1:13" ht="13.5" customHeight="1" thickBot="1" x14ac:dyDescent="0.3">
      <c r="A488" s="151" t="s">
        <v>438</v>
      </c>
      <c r="B488" s="152"/>
      <c r="C488" s="152"/>
      <c r="D488" s="152"/>
      <c r="E488" s="152"/>
      <c r="F488" s="152"/>
      <c r="G488" s="12"/>
      <c r="H488" s="12"/>
      <c r="I488" s="12"/>
      <c r="J488" s="12"/>
      <c r="K488" s="12"/>
      <c r="L488" s="12"/>
      <c r="M488" s="13"/>
    </row>
    <row r="489" spans="1:13" ht="13.5" customHeight="1" x14ac:dyDescent="0.25">
      <c r="A489" s="14">
        <v>391</v>
      </c>
      <c r="B489" s="15">
        <v>45796</v>
      </c>
      <c r="C489" s="16" t="s">
        <v>5</v>
      </c>
      <c r="D489" s="45" t="s">
        <v>471</v>
      </c>
      <c r="E489" s="16" t="s">
        <v>6</v>
      </c>
      <c r="F489" s="16" t="s">
        <v>7</v>
      </c>
      <c r="G489" s="16">
        <f>(19*10)+((4.5+6)/2)</f>
        <v>195.25</v>
      </c>
      <c r="H489" s="16">
        <f>4+1</f>
        <v>5</v>
      </c>
      <c r="I489" s="16">
        <v>1</v>
      </c>
      <c r="J489" s="145" t="s">
        <v>443</v>
      </c>
      <c r="K489" s="146"/>
      <c r="L489" s="147"/>
      <c r="M489" s="17"/>
    </row>
    <row r="490" spans="1:13" ht="13.5" customHeight="1" thickBot="1" x14ac:dyDescent="0.3">
      <c r="A490" s="32">
        <v>392</v>
      </c>
      <c r="B490" s="33">
        <v>45796</v>
      </c>
      <c r="C490" s="34" t="s">
        <v>5</v>
      </c>
      <c r="D490" s="105" t="s">
        <v>137</v>
      </c>
      <c r="E490" s="34" t="s">
        <v>6</v>
      </c>
      <c r="F490" s="34" t="s">
        <v>7</v>
      </c>
      <c r="G490" s="67">
        <f>(29.2*10)</f>
        <v>292</v>
      </c>
      <c r="H490" s="34">
        <f>8+1</f>
        <v>9</v>
      </c>
      <c r="I490" s="34">
        <v>1</v>
      </c>
      <c r="J490" s="148"/>
      <c r="K490" s="149"/>
      <c r="L490" s="150"/>
      <c r="M490" s="35"/>
    </row>
    <row r="491" spans="1:13" ht="13.5" customHeight="1" thickBot="1" x14ac:dyDescent="0.3">
      <c r="A491" s="151" t="s">
        <v>385</v>
      </c>
      <c r="B491" s="152"/>
      <c r="C491" s="152"/>
      <c r="D491" s="152"/>
      <c r="E491" s="152"/>
      <c r="F491" s="152"/>
      <c r="G491" s="12"/>
      <c r="H491" s="12"/>
      <c r="I491" s="12"/>
      <c r="J491" s="12"/>
      <c r="K491" s="12"/>
      <c r="L491" s="12"/>
      <c r="M491" s="13"/>
    </row>
    <row r="492" spans="1:13" ht="13.5" customHeight="1" x14ac:dyDescent="0.25">
      <c r="A492" s="14">
        <v>393</v>
      </c>
      <c r="B492" s="15">
        <v>45796</v>
      </c>
      <c r="C492" s="16" t="s">
        <v>5</v>
      </c>
      <c r="D492" s="45" t="s">
        <v>386</v>
      </c>
      <c r="E492" s="16" t="s">
        <v>6</v>
      </c>
      <c r="F492" s="16" t="s">
        <v>7</v>
      </c>
      <c r="G492" s="16">
        <f>(7*3.3*4.5)+(1*3.6*4.5)</f>
        <v>120.14999999999999</v>
      </c>
      <c r="H492" s="16">
        <f>7+1</f>
        <v>8</v>
      </c>
      <c r="I492" s="16">
        <v>1</v>
      </c>
      <c r="J492" s="145" t="s">
        <v>443</v>
      </c>
      <c r="K492" s="146"/>
      <c r="L492" s="147"/>
      <c r="M492" s="17"/>
    </row>
    <row r="493" spans="1:13" ht="13.5" customHeight="1" x14ac:dyDescent="0.25">
      <c r="A493" s="18">
        <v>394</v>
      </c>
      <c r="B493" s="19">
        <v>45796</v>
      </c>
      <c r="C493" s="128" t="s">
        <v>5</v>
      </c>
      <c r="D493" s="46" t="s">
        <v>387</v>
      </c>
      <c r="E493" s="128" t="s">
        <v>6</v>
      </c>
      <c r="F493" s="128" t="s">
        <v>7</v>
      </c>
      <c r="G493" s="43">
        <f>(20.6*2.5)</f>
        <v>51.5</v>
      </c>
      <c r="H493" s="128">
        <f>1+1</f>
        <v>2</v>
      </c>
      <c r="I493" s="128">
        <v>1</v>
      </c>
      <c r="J493" s="148"/>
      <c r="K493" s="149"/>
      <c r="L493" s="150"/>
      <c r="M493" s="21"/>
    </row>
    <row r="494" spans="1:13" ht="13.5" customHeight="1" x14ac:dyDescent="0.25">
      <c r="A494" s="18">
        <v>395</v>
      </c>
      <c r="B494" s="19">
        <v>45796</v>
      </c>
      <c r="C494" s="128" t="s">
        <v>5</v>
      </c>
      <c r="D494" s="46" t="s">
        <v>388</v>
      </c>
      <c r="E494" s="128" t="s">
        <v>6</v>
      </c>
      <c r="F494" s="128" t="s">
        <v>7</v>
      </c>
      <c r="G494" s="128">
        <f>(35*2.5)</f>
        <v>87.5</v>
      </c>
      <c r="H494" s="128">
        <f>3+1</f>
        <v>4</v>
      </c>
      <c r="I494" s="128">
        <v>1</v>
      </c>
      <c r="J494" s="148"/>
      <c r="K494" s="149"/>
      <c r="L494" s="150"/>
      <c r="M494" s="21"/>
    </row>
    <row r="495" spans="1:13" ht="13.5" customHeight="1" thickBot="1" x14ac:dyDescent="0.3">
      <c r="A495" s="95">
        <v>396</v>
      </c>
      <c r="B495" s="96">
        <v>45796</v>
      </c>
      <c r="C495" s="97" t="s">
        <v>5</v>
      </c>
      <c r="D495" s="113" t="s">
        <v>389</v>
      </c>
      <c r="E495" s="97" t="s">
        <v>6</v>
      </c>
      <c r="F495" s="97" t="s">
        <v>7</v>
      </c>
      <c r="G495" s="97">
        <f>(49.8*5.3)</f>
        <v>263.94</v>
      </c>
      <c r="H495" s="97">
        <f>14+2</f>
        <v>16</v>
      </c>
      <c r="I495" s="97">
        <v>2</v>
      </c>
      <c r="J495" s="153"/>
      <c r="K495" s="154"/>
      <c r="L495" s="155"/>
      <c r="M495" s="98"/>
    </row>
  </sheetData>
  <mergeCells count="202">
    <mergeCell ref="C5:C6"/>
    <mergeCell ref="D5:D6"/>
    <mergeCell ref="J5:J6"/>
    <mergeCell ref="K5:K6"/>
    <mergeCell ref="L5:L6"/>
    <mergeCell ref="J9:L12"/>
    <mergeCell ref="A1:M1"/>
    <mergeCell ref="A2:M2"/>
    <mergeCell ref="A4:B6"/>
    <mergeCell ref="C4:D4"/>
    <mergeCell ref="E4:E6"/>
    <mergeCell ref="F4:F6"/>
    <mergeCell ref="G4:G6"/>
    <mergeCell ref="H4:I6"/>
    <mergeCell ref="J4:L4"/>
    <mergeCell ref="M4:M6"/>
    <mergeCell ref="J49:L49"/>
    <mergeCell ref="J51:L51"/>
    <mergeCell ref="J53:L53"/>
    <mergeCell ref="J55:L55"/>
    <mergeCell ref="J57:L59"/>
    <mergeCell ref="J61:L63"/>
    <mergeCell ref="J14:L21"/>
    <mergeCell ref="J23:L23"/>
    <mergeCell ref="J25:L29"/>
    <mergeCell ref="J31:L32"/>
    <mergeCell ref="J34:L45"/>
    <mergeCell ref="J47:L47"/>
    <mergeCell ref="J97:L97"/>
    <mergeCell ref="J98:L98"/>
    <mergeCell ref="J99:L99"/>
    <mergeCell ref="J100:L100"/>
    <mergeCell ref="J65:L67"/>
    <mergeCell ref="J69:L75"/>
    <mergeCell ref="J77:L80"/>
    <mergeCell ref="J82:L82"/>
    <mergeCell ref="J84:L92"/>
    <mergeCell ref="J94:L96"/>
    <mergeCell ref="J139:L141"/>
    <mergeCell ref="J143:L145"/>
    <mergeCell ref="J147:L148"/>
    <mergeCell ref="J150:L150"/>
    <mergeCell ref="J152:L152"/>
    <mergeCell ref="J154:L155"/>
    <mergeCell ref="J102:L103"/>
    <mergeCell ref="J105:L108"/>
    <mergeCell ref="J110:L112"/>
    <mergeCell ref="J114:L114"/>
    <mergeCell ref="J116:L137"/>
    <mergeCell ref="J199:L207"/>
    <mergeCell ref="J209:L213"/>
    <mergeCell ref="J215:L220"/>
    <mergeCell ref="J222:L222"/>
    <mergeCell ref="A223:E223"/>
    <mergeCell ref="J224:L243"/>
    <mergeCell ref="J157:L157"/>
    <mergeCell ref="J159:L159"/>
    <mergeCell ref="J161:L165"/>
    <mergeCell ref="J167:L167"/>
    <mergeCell ref="J169:L171"/>
    <mergeCell ref="J173:L197"/>
    <mergeCell ref="A208:F208"/>
    <mergeCell ref="A214:F214"/>
    <mergeCell ref="A221:F221"/>
    <mergeCell ref="J271:L273"/>
    <mergeCell ref="J275:L275"/>
    <mergeCell ref="J277:L278"/>
    <mergeCell ref="J280:L281"/>
    <mergeCell ref="J283:L285"/>
    <mergeCell ref="J287:L287"/>
    <mergeCell ref="J245:L245"/>
    <mergeCell ref="J247:L247"/>
    <mergeCell ref="J249:L252"/>
    <mergeCell ref="J254:L255"/>
    <mergeCell ref="J257:L267"/>
    <mergeCell ref="J269:L269"/>
    <mergeCell ref="J327:L328"/>
    <mergeCell ref="J330:L330"/>
    <mergeCell ref="J332:L337"/>
    <mergeCell ref="J339:L341"/>
    <mergeCell ref="A326:F326"/>
    <mergeCell ref="A329:F329"/>
    <mergeCell ref="A331:F331"/>
    <mergeCell ref="A338:F338"/>
    <mergeCell ref="A288:E288"/>
    <mergeCell ref="J289:L297"/>
    <mergeCell ref="A298:E298"/>
    <mergeCell ref="J299:L310"/>
    <mergeCell ref="J312:L313"/>
    <mergeCell ref="J315:L315"/>
    <mergeCell ref="A311:F311"/>
    <mergeCell ref="J492:L495"/>
    <mergeCell ref="A8:F8"/>
    <mergeCell ref="A13:F13"/>
    <mergeCell ref="A22:F22"/>
    <mergeCell ref="A24:F24"/>
    <mergeCell ref="A30:F30"/>
    <mergeCell ref="A33:F33"/>
    <mergeCell ref="J454:L456"/>
    <mergeCell ref="J458:L464"/>
    <mergeCell ref="J466:L467"/>
    <mergeCell ref="J469:L469"/>
    <mergeCell ref="J471:L472"/>
    <mergeCell ref="J474:L477"/>
    <mergeCell ref="J428:L430"/>
    <mergeCell ref="J432:L433"/>
    <mergeCell ref="J435:L442"/>
    <mergeCell ref="J444:L444"/>
    <mergeCell ref="J446:L447"/>
    <mergeCell ref="J449:L452"/>
    <mergeCell ref="J392:L398"/>
    <mergeCell ref="J400:L400"/>
    <mergeCell ref="A401:E401"/>
    <mergeCell ref="J402:L417"/>
    <mergeCell ref="A418:E418"/>
    <mergeCell ref="A46:F46"/>
    <mergeCell ref="A48:F48"/>
    <mergeCell ref="A50:F50"/>
    <mergeCell ref="A52:F52"/>
    <mergeCell ref="A54:F54"/>
    <mergeCell ref="A56:F56"/>
    <mergeCell ref="J479:L484"/>
    <mergeCell ref="J486:L487"/>
    <mergeCell ref="J489:L490"/>
    <mergeCell ref="J419:L426"/>
    <mergeCell ref="J365:L368"/>
    <mergeCell ref="A369:E369"/>
    <mergeCell ref="J370:L376"/>
    <mergeCell ref="A377:E377"/>
    <mergeCell ref="J378:L390"/>
    <mergeCell ref="A391:E391"/>
    <mergeCell ref="J343:L345"/>
    <mergeCell ref="A346:E346"/>
    <mergeCell ref="J347:L352"/>
    <mergeCell ref="J354:L357"/>
    <mergeCell ref="J359:L359"/>
    <mergeCell ref="J361:L363"/>
    <mergeCell ref="A316:E316"/>
    <mergeCell ref="J317:L325"/>
    <mergeCell ref="A60:F60"/>
    <mergeCell ref="A64:F64"/>
    <mergeCell ref="A68:F68"/>
    <mergeCell ref="A76:F76"/>
    <mergeCell ref="A81:F81"/>
    <mergeCell ref="A83:F83"/>
    <mergeCell ref="A168:F168"/>
    <mergeCell ref="A172:F172"/>
    <mergeCell ref="A198:F198"/>
    <mergeCell ref="A142:F142"/>
    <mergeCell ref="A146:F146"/>
    <mergeCell ref="A149:F149"/>
    <mergeCell ref="A151:F151"/>
    <mergeCell ref="A153:F153"/>
    <mergeCell ref="A160:F160"/>
    <mergeCell ref="A138:F138"/>
    <mergeCell ref="A113:F113"/>
    <mergeCell ref="A115:F115"/>
    <mergeCell ref="A93:F93"/>
    <mergeCell ref="A97:F97"/>
    <mergeCell ref="A99:F99"/>
    <mergeCell ref="A101:F101"/>
    <mergeCell ref="A104:F104"/>
    <mergeCell ref="A109:F109"/>
    <mergeCell ref="A360:F360"/>
    <mergeCell ref="A364:F364"/>
    <mergeCell ref="A399:F399"/>
    <mergeCell ref="A270:F270"/>
    <mergeCell ref="A274:F274"/>
    <mergeCell ref="A279:F279"/>
    <mergeCell ref="A282:F282"/>
    <mergeCell ref="A286:F286"/>
    <mergeCell ref="A244:F244"/>
    <mergeCell ref="A246:F246"/>
    <mergeCell ref="A248:F248"/>
    <mergeCell ref="A256:F256"/>
    <mergeCell ref="A268:F268"/>
    <mergeCell ref="A253:D253"/>
    <mergeCell ref="A276:E276"/>
    <mergeCell ref="N4:N6"/>
    <mergeCell ref="A478:F478"/>
    <mergeCell ref="A485:F485"/>
    <mergeCell ref="A488:F488"/>
    <mergeCell ref="A491:F491"/>
    <mergeCell ref="A156:F156"/>
    <mergeCell ref="A158:F158"/>
    <mergeCell ref="A166:F166"/>
    <mergeCell ref="A314:F314"/>
    <mergeCell ref="A457:F457"/>
    <mergeCell ref="A465:F465"/>
    <mergeCell ref="A453:F453"/>
    <mergeCell ref="A468:F468"/>
    <mergeCell ref="A470:F470"/>
    <mergeCell ref="A473:F473"/>
    <mergeCell ref="A427:F427"/>
    <mergeCell ref="A431:F431"/>
    <mergeCell ref="A434:F434"/>
    <mergeCell ref="A443:F443"/>
    <mergeCell ref="A445:F445"/>
    <mergeCell ref="A448:F448"/>
    <mergeCell ref="A342:F342"/>
    <mergeCell ref="A353:F353"/>
    <mergeCell ref="A358:F35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2025 (2)</vt:lpstr>
      <vt:lpstr>Реестр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2026-05-25T08:18:31Z</dcterms:modified>
</cp:coreProperties>
</file>